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kantas\Documents\14 - ΘΕΜΑΤΑ ΔΙΚΤΥΟΥ\3-ΕΦΑΡΜΟΓΗ ΚΔΔ\ΕΓΧΕΙΡΙΔΙΑ\ΕΓΧ. ΧΧΔ\2021\ΔΙΑΒΟΥΛΕΥΣΗ 2021-05\"/>
    </mc:Choice>
  </mc:AlternateContent>
  <xr:revisionPtr revIDLastSave="0" documentId="13_ncr:1_{4982F6FC-D0C2-458F-834C-606DBC068406}" xr6:coauthVersionLast="46" xr6:coauthVersionMax="46" xr10:uidLastSave="{00000000-0000-0000-0000-000000000000}"/>
  <bookViews>
    <workbookView xWindow="-120" yWindow="-120" windowWidth="29040" windowHeight="15990" xr2:uid="{3201CA2F-73C6-4745-A53F-C7927FEE4F06}"/>
  </bookViews>
  <sheets>
    <sheet name="Σενάρια (Θέμα #2)" sheetId="1" r:id="rId1"/>
    <sheet name="Προτ. Προσθ. Τροπ. (Θέμα #1)" sheetId="3" r:id="rId2"/>
    <sheet name="Μετάβαση (Θέμα #3)" sheetId="5" r:id="rId3"/>
    <sheet name="ΧΧΔ βάσει τρέχουσας" sheetId="4" r:id="rId4"/>
    <sheet name="Κατηγορίες ΧΧΔ Καταναλωτών" sheetId="2" r:id="rId5"/>
  </sheets>
  <externalReferences>
    <externalReference r:id="rId6"/>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2" i="1" l="1"/>
  <c r="C101" i="1"/>
  <c r="C100" i="1"/>
  <c r="C99" i="1"/>
  <c r="C98" i="1"/>
  <c r="C97" i="1"/>
  <c r="C96" i="1"/>
  <c r="C95" i="1"/>
  <c r="C94" i="1"/>
  <c r="C93" i="1"/>
  <c r="C90" i="1"/>
  <c r="C89" i="1"/>
  <c r="C88" i="1"/>
  <c r="C87" i="1"/>
  <c r="C86" i="1"/>
  <c r="C85" i="1"/>
  <c r="C84" i="1"/>
  <c r="C83" i="1"/>
  <c r="C82" i="1"/>
  <c r="C46" i="1"/>
  <c r="C45" i="1"/>
  <c r="C44" i="1"/>
  <c r="C43" i="1"/>
  <c r="C42" i="1"/>
  <c r="C41" i="1"/>
  <c r="C40" i="1"/>
  <c r="C39" i="1"/>
  <c r="I50" i="1" s="1"/>
  <c r="I61" i="1" s="1"/>
  <c r="C38" i="1"/>
  <c r="C35" i="1"/>
  <c r="C34" i="1"/>
  <c r="C33" i="1"/>
  <c r="C32" i="1"/>
  <c r="C31" i="1"/>
  <c r="C30" i="1"/>
  <c r="C29" i="1"/>
  <c r="C28" i="1"/>
  <c r="C27" i="1"/>
  <c r="C18" i="1"/>
  <c r="C17" i="1"/>
  <c r="C16" i="1"/>
  <c r="C15" i="1"/>
  <c r="C14" i="1"/>
  <c r="C13" i="1"/>
  <c r="C12" i="1"/>
  <c r="C11" i="1"/>
  <c r="C10" i="1"/>
  <c r="C115" i="5"/>
  <c r="C114" i="5"/>
  <c r="C124" i="5" s="1"/>
  <c r="C113" i="5"/>
  <c r="C112" i="5"/>
  <c r="C122" i="5" s="1"/>
  <c r="C111" i="5"/>
  <c r="D111" i="5" s="1"/>
  <c r="D121" i="5" s="1"/>
  <c r="C110" i="5"/>
  <c r="C120" i="5" s="1"/>
  <c r="C109" i="5"/>
  <c r="C108" i="5"/>
  <c r="G108" i="5" s="1"/>
  <c r="G118" i="5" s="1"/>
  <c r="C107" i="5"/>
  <c r="C93" i="5"/>
  <c r="C103" i="5" s="1"/>
  <c r="C92" i="5"/>
  <c r="C91" i="5"/>
  <c r="E91" i="5" s="1"/>
  <c r="E101" i="5" s="1"/>
  <c r="C90" i="5"/>
  <c r="G90" i="5" s="1"/>
  <c r="G100" i="5" s="1"/>
  <c r="C89" i="5"/>
  <c r="G89" i="5" s="1"/>
  <c r="G99" i="5" s="1"/>
  <c r="C88" i="5"/>
  <c r="D88" i="5" s="1"/>
  <c r="D98" i="5" s="1"/>
  <c r="C87" i="5"/>
  <c r="D87" i="5" s="1"/>
  <c r="D97" i="5" s="1"/>
  <c r="C86" i="5"/>
  <c r="C96" i="5" s="1"/>
  <c r="C85" i="5"/>
  <c r="F11" i="5"/>
  <c r="E11" i="5"/>
  <c r="D11" i="5"/>
  <c r="C11" i="5"/>
  <c r="C32" i="5" s="1"/>
  <c r="F10" i="5"/>
  <c r="E10" i="5"/>
  <c r="D10" i="5"/>
  <c r="C10" i="5"/>
  <c r="C31" i="5" s="1"/>
  <c r="F9" i="5"/>
  <c r="E9" i="5"/>
  <c r="D9" i="5"/>
  <c r="C9" i="5"/>
  <c r="F8" i="5"/>
  <c r="E8" i="5"/>
  <c r="D8" i="5"/>
  <c r="C8" i="5"/>
  <c r="F7" i="5"/>
  <c r="E7" i="5"/>
  <c r="D7" i="5"/>
  <c r="C7" i="5"/>
  <c r="F6" i="5"/>
  <c r="E6" i="5"/>
  <c r="D6" i="5"/>
  <c r="C6" i="5"/>
  <c r="F5" i="5"/>
  <c r="E5" i="5"/>
  <c r="D5" i="5"/>
  <c r="C5" i="5"/>
  <c r="F4" i="5"/>
  <c r="E4" i="5"/>
  <c r="D4" i="5"/>
  <c r="C4" i="5"/>
  <c r="C25" i="5" s="1"/>
  <c r="C53" i="5" s="1"/>
  <c r="F3" i="5"/>
  <c r="E3" i="5"/>
  <c r="D3" i="5"/>
  <c r="C3" i="5"/>
  <c r="C24" i="5" s="1"/>
  <c r="C125" i="5"/>
  <c r="C123" i="5"/>
  <c r="G109" i="5"/>
  <c r="G119" i="5" s="1"/>
  <c r="E109" i="5"/>
  <c r="E119" i="5" s="1"/>
  <c r="D109" i="5"/>
  <c r="D119" i="5" s="1"/>
  <c r="F109" i="5"/>
  <c r="F119" i="5" s="1"/>
  <c r="G107" i="5"/>
  <c r="G117" i="5" s="1"/>
  <c r="D107" i="5"/>
  <c r="D117" i="5" s="1"/>
  <c r="C117" i="5"/>
  <c r="C95" i="5"/>
  <c r="F93" i="5"/>
  <c r="F103" i="5" s="1"/>
  <c r="E92" i="5"/>
  <c r="E102" i="5" s="1"/>
  <c r="D92" i="5"/>
  <c r="D102" i="5" s="1"/>
  <c r="G91" i="5"/>
  <c r="G101" i="5" s="1"/>
  <c r="D90" i="5"/>
  <c r="D100" i="5" s="1"/>
  <c r="F90" i="5"/>
  <c r="F100" i="5" s="1"/>
  <c r="F87" i="5"/>
  <c r="F97" i="5" s="1"/>
  <c r="E87" i="5"/>
  <c r="E97" i="5" s="1"/>
  <c r="F85" i="5"/>
  <c r="F95" i="5" s="1"/>
  <c r="G85" i="5"/>
  <c r="G95" i="5" s="1"/>
  <c r="E80" i="5"/>
  <c r="E78" i="5"/>
  <c r="D77" i="5"/>
  <c r="E76" i="5"/>
  <c r="E74" i="5"/>
  <c r="D73" i="5"/>
  <c r="G71" i="5"/>
  <c r="G81" i="5" s="1"/>
  <c r="F71" i="5"/>
  <c r="F81" i="5" s="1"/>
  <c r="E71" i="5"/>
  <c r="E81" i="5" s="1"/>
  <c r="D71" i="5"/>
  <c r="D81" i="5" s="1"/>
  <c r="G70" i="5"/>
  <c r="G80" i="5" s="1"/>
  <c r="F70" i="5"/>
  <c r="F80" i="5" s="1"/>
  <c r="E70" i="5"/>
  <c r="D70" i="5"/>
  <c r="D80" i="5" s="1"/>
  <c r="G69" i="5"/>
  <c r="G79" i="5" s="1"/>
  <c r="F69" i="5"/>
  <c r="F79" i="5" s="1"/>
  <c r="E69" i="5"/>
  <c r="E79" i="5" s="1"/>
  <c r="D69" i="5"/>
  <c r="D79" i="5" s="1"/>
  <c r="G68" i="5"/>
  <c r="G78" i="5" s="1"/>
  <c r="F68" i="5"/>
  <c r="F78" i="5" s="1"/>
  <c r="E68" i="5"/>
  <c r="D68" i="5"/>
  <c r="D78" i="5" s="1"/>
  <c r="G67" i="5"/>
  <c r="G77" i="5" s="1"/>
  <c r="F67" i="5"/>
  <c r="F77" i="5" s="1"/>
  <c r="E67" i="5"/>
  <c r="E77" i="5" s="1"/>
  <c r="D67" i="5"/>
  <c r="G66" i="5"/>
  <c r="G76" i="5" s="1"/>
  <c r="F66" i="5"/>
  <c r="F76" i="5" s="1"/>
  <c r="E66" i="5"/>
  <c r="D66" i="5"/>
  <c r="D76" i="5" s="1"/>
  <c r="G65" i="5"/>
  <c r="G75" i="5" s="1"/>
  <c r="F65" i="5"/>
  <c r="F75" i="5" s="1"/>
  <c r="E65" i="5"/>
  <c r="E75" i="5" s="1"/>
  <c r="D65" i="5"/>
  <c r="D75" i="5" s="1"/>
  <c r="G64" i="5"/>
  <c r="G74" i="5" s="1"/>
  <c r="F64" i="5"/>
  <c r="F74" i="5" s="1"/>
  <c r="E64" i="5"/>
  <c r="D64" i="5"/>
  <c r="D74" i="5" s="1"/>
  <c r="G63" i="5"/>
  <c r="G73" i="5" s="1"/>
  <c r="G82" i="5" s="1"/>
  <c r="G35" i="5" s="1"/>
  <c r="F63" i="5"/>
  <c r="F73" i="5" s="1"/>
  <c r="E63" i="5"/>
  <c r="E73" i="5" s="1"/>
  <c r="D63" i="5"/>
  <c r="B21" i="5"/>
  <c r="C30" i="5" s="1"/>
  <c r="C145" i="5" s="1"/>
  <c r="C135" i="5" s="1"/>
  <c r="G49" i="4"/>
  <c r="F49" i="4"/>
  <c r="K48" i="4"/>
  <c r="G48" i="4"/>
  <c r="F48" i="4"/>
  <c r="G47" i="4"/>
  <c r="F47" i="4"/>
  <c r="K46" i="4"/>
  <c r="O46" i="4" s="1"/>
  <c r="G46" i="4"/>
  <c r="F46" i="4"/>
  <c r="G45" i="4"/>
  <c r="F45" i="4"/>
  <c r="G44" i="4"/>
  <c r="F44" i="4"/>
  <c r="G43" i="4"/>
  <c r="F43" i="4"/>
  <c r="G42" i="4"/>
  <c r="F42" i="4"/>
  <c r="K41" i="4"/>
  <c r="M41" i="4" s="1"/>
  <c r="G41" i="4"/>
  <c r="F41" i="4"/>
  <c r="J30" i="4"/>
  <c r="J29" i="4"/>
  <c r="J28" i="4"/>
  <c r="J27" i="4"/>
  <c r="J26" i="4"/>
  <c r="J25" i="4"/>
  <c r="J24" i="4"/>
  <c r="J23" i="4"/>
  <c r="J22" i="4"/>
  <c r="H17" i="4"/>
  <c r="G17" i="4"/>
  <c r="F17" i="4"/>
  <c r="K16" i="4"/>
  <c r="H16" i="4"/>
  <c r="G16" i="4"/>
  <c r="F16" i="4"/>
  <c r="H15" i="4"/>
  <c r="G15" i="4"/>
  <c r="F15" i="4"/>
  <c r="K14" i="4"/>
  <c r="H14" i="4"/>
  <c r="G14" i="4"/>
  <c r="F14" i="4"/>
  <c r="H13" i="4"/>
  <c r="G13" i="4"/>
  <c r="F13" i="4"/>
  <c r="H12" i="4"/>
  <c r="G12" i="4"/>
  <c r="F12" i="4"/>
  <c r="H11" i="4"/>
  <c r="G11" i="4"/>
  <c r="F11" i="4"/>
  <c r="H10" i="4"/>
  <c r="G10" i="4"/>
  <c r="F10" i="4"/>
  <c r="K9" i="4"/>
  <c r="M9" i="4" s="1"/>
  <c r="H9" i="4"/>
  <c r="N41" i="4" s="1"/>
  <c r="G9" i="4"/>
  <c r="F9" i="4"/>
  <c r="P3" i="4"/>
  <c r="M3" i="4"/>
  <c r="L3" i="4"/>
  <c r="K3" i="4"/>
  <c r="J3" i="4"/>
  <c r="I3" i="4"/>
  <c r="E3" i="4"/>
  <c r="P2" i="4"/>
  <c r="M2" i="4"/>
  <c r="L2" i="4"/>
  <c r="K2" i="4"/>
  <c r="J2" i="4"/>
  <c r="I2" i="4"/>
  <c r="F1" i="4"/>
  <c r="F2" i="4" s="1"/>
  <c r="C123" i="3"/>
  <c r="C122" i="3"/>
  <c r="C121" i="3"/>
  <c r="C120" i="3"/>
  <c r="C112" i="3"/>
  <c r="C111" i="3"/>
  <c r="C110" i="3"/>
  <c r="C109" i="3"/>
  <c r="C101" i="3"/>
  <c r="C100" i="3"/>
  <c r="C99" i="3"/>
  <c r="C98" i="3"/>
  <c r="C97" i="3"/>
  <c r="C96" i="3"/>
  <c r="C95" i="3"/>
  <c r="C94" i="3"/>
  <c r="C93" i="3"/>
  <c r="C90" i="3"/>
  <c r="C89" i="3"/>
  <c r="C88" i="3"/>
  <c r="C87" i="3"/>
  <c r="C86" i="3"/>
  <c r="C85" i="3"/>
  <c r="C84" i="3"/>
  <c r="C83" i="3"/>
  <c r="C82" i="3"/>
  <c r="C79" i="3"/>
  <c r="C78" i="3"/>
  <c r="C77" i="3"/>
  <c r="C76" i="3"/>
  <c r="C75" i="3"/>
  <c r="C74" i="3"/>
  <c r="C73" i="3"/>
  <c r="C72" i="3"/>
  <c r="C71" i="3"/>
  <c r="C46" i="3"/>
  <c r="C45" i="3"/>
  <c r="E56" i="3" s="1"/>
  <c r="E67" i="3" s="1"/>
  <c r="C44" i="3"/>
  <c r="D55" i="3" s="1"/>
  <c r="D66" i="3" s="1"/>
  <c r="C43" i="3"/>
  <c r="F54" i="3" s="1"/>
  <c r="F65" i="3" s="1"/>
  <c r="C42" i="3"/>
  <c r="C41" i="3"/>
  <c r="F52" i="3" s="1"/>
  <c r="F63" i="3" s="1"/>
  <c r="C40" i="3"/>
  <c r="D51" i="3" s="1"/>
  <c r="D62" i="3" s="1"/>
  <c r="C39" i="3"/>
  <c r="F50" i="3" s="1"/>
  <c r="F61" i="3" s="1"/>
  <c r="C38" i="3"/>
  <c r="E49" i="3" s="1"/>
  <c r="E60" i="3" s="1"/>
  <c r="C35" i="3"/>
  <c r="C34" i="3"/>
  <c r="C33" i="3"/>
  <c r="C32" i="3"/>
  <c r="C31" i="3"/>
  <c r="C30" i="3"/>
  <c r="C29" i="3"/>
  <c r="C28" i="3"/>
  <c r="C27" i="3"/>
  <c r="C18" i="3"/>
  <c r="B18" i="3"/>
  <c r="B35" i="3" s="1"/>
  <c r="B46" i="3" s="1"/>
  <c r="B57" i="3" s="1"/>
  <c r="B68" i="3" s="1"/>
  <c r="B79" i="3" s="1"/>
  <c r="B90" i="3" s="1"/>
  <c r="B101" i="3" s="1"/>
  <c r="B112" i="3" s="1"/>
  <c r="B123" i="3" s="1"/>
  <c r="C17" i="3"/>
  <c r="B17" i="3"/>
  <c r="B34" i="3" s="1"/>
  <c r="B45" i="3" s="1"/>
  <c r="B56" i="3" s="1"/>
  <c r="B67" i="3" s="1"/>
  <c r="B78" i="3" s="1"/>
  <c r="B89" i="3" s="1"/>
  <c r="B100" i="3" s="1"/>
  <c r="B111" i="3" s="1"/>
  <c r="B122" i="3" s="1"/>
  <c r="C16" i="3"/>
  <c r="B16" i="3"/>
  <c r="B33" i="3" s="1"/>
  <c r="B44" i="3" s="1"/>
  <c r="B55" i="3" s="1"/>
  <c r="B66" i="3" s="1"/>
  <c r="B77" i="3" s="1"/>
  <c r="B88" i="3" s="1"/>
  <c r="B99" i="3" s="1"/>
  <c r="B110" i="3" s="1"/>
  <c r="B121" i="3" s="1"/>
  <c r="C15" i="3"/>
  <c r="B15" i="3"/>
  <c r="B32" i="3" s="1"/>
  <c r="B43" i="3" s="1"/>
  <c r="B54" i="3" s="1"/>
  <c r="B65" i="3" s="1"/>
  <c r="B76" i="3" s="1"/>
  <c r="B87" i="3" s="1"/>
  <c r="B98" i="3" s="1"/>
  <c r="B109" i="3" s="1"/>
  <c r="B120" i="3" s="1"/>
  <c r="C14" i="3"/>
  <c r="B14" i="3"/>
  <c r="B31" i="3" s="1"/>
  <c r="B42" i="3" s="1"/>
  <c r="B53" i="3" s="1"/>
  <c r="B64" i="3" s="1"/>
  <c r="B75" i="3" s="1"/>
  <c r="B86" i="3" s="1"/>
  <c r="B97" i="3" s="1"/>
  <c r="B108" i="3" s="1"/>
  <c r="B119" i="3" s="1"/>
  <c r="C13" i="3"/>
  <c r="B13" i="3"/>
  <c r="B30" i="3" s="1"/>
  <c r="B41" i="3" s="1"/>
  <c r="B52" i="3" s="1"/>
  <c r="B63" i="3" s="1"/>
  <c r="B74" i="3" s="1"/>
  <c r="B85" i="3" s="1"/>
  <c r="B96" i="3" s="1"/>
  <c r="B107" i="3" s="1"/>
  <c r="B118" i="3" s="1"/>
  <c r="C12" i="3"/>
  <c r="B12" i="3"/>
  <c r="B29" i="3" s="1"/>
  <c r="B40" i="3" s="1"/>
  <c r="B51" i="3" s="1"/>
  <c r="B62" i="3" s="1"/>
  <c r="B73" i="3" s="1"/>
  <c r="B84" i="3" s="1"/>
  <c r="B95" i="3" s="1"/>
  <c r="B106" i="3" s="1"/>
  <c r="B117" i="3" s="1"/>
  <c r="C11" i="3"/>
  <c r="B11" i="3"/>
  <c r="B28" i="3" s="1"/>
  <c r="B39" i="3" s="1"/>
  <c r="B50" i="3" s="1"/>
  <c r="B61" i="3" s="1"/>
  <c r="B72" i="3" s="1"/>
  <c r="B83" i="3" s="1"/>
  <c r="B94" i="3" s="1"/>
  <c r="B105" i="3" s="1"/>
  <c r="B116" i="3" s="1"/>
  <c r="C10" i="3"/>
  <c r="B10" i="3"/>
  <c r="B27" i="3" s="1"/>
  <c r="B38" i="3" s="1"/>
  <c r="B49" i="3" s="1"/>
  <c r="B60" i="3" s="1"/>
  <c r="B71" i="3" s="1"/>
  <c r="B82" i="3" s="1"/>
  <c r="B93" i="3" s="1"/>
  <c r="B104" i="3" s="1"/>
  <c r="B115" i="3" s="1"/>
  <c r="C4" i="3"/>
  <c r="S6" i="2"/>
  <c r="T6" i="2"/>
  <c r="U6" i="2"/>
  <c r="V6" i="2"/>
  <c r="W6" i="2"/>
  <c r="X6" i="2"/>
  <c r="S7" i="2"/>
  <c r="T7" i="2"/>
  <c r="U7" i="2"/>
  <c r="V7" i="2"/>
  <c r="W7" i="2"/>
  <c r="X7" i="2"/>
  <c r="S8" i="2"/>
  <c r="T8" i="2"/>
  <c r="U8" i="2"/>
  <c r="V8" i="2"/>
  <c r="W8" i="2"/>
  <c r="X8" i="2"/>
  <c r="S9" i="2"/>
  <c r="T9" i="2"/>
  <c r="U9" i="2"/>
  <c r="V9" i="2"/>
  <c r="W9" i="2"/>
  <c r="X9" i="2"/>
  <c r="S10" i="2"/>
  <c r="T10" i="2"/>
  <c r="U10" i="2"/>
  <c r="V10" i="2"/>
  <c r="W10" i="2"/>
  <c r="X10" i="2"/>
  <c r="S11" i="2"/>
  <c r="T11" i="2"/>
  <c r="U11" i="2"/>
  <c r="V11" i="2"/>
  <c r="W11" i="2"/>
  <c r="X11" i="2"/>
  <c r="S12" i="2"/>
  <c r="T12" i="2"/>
  <c r="U12" i="2"/>
  <c r="V12" i="2"/>
  <c r="W12" i="2"/>
  <c r="X12" i="2"/>
  <c r="S13" i="2"/>
  <c r="T13" i="2"/>
  <c r="U13" i="2"/>
  <c r="V13" i="2"/>
  <c r="W13" i="2"/>
  <c r="X13" i="2"/>
  <c r="S14" i="2"/>
  <c r="T14" i="2"/>
  <c r="U14" i="2"/>
  <c r="V14" i="2"/>
  <c r="W14" i="2"/>
  <c r="X14" i="2"/>
  <c r="C111" i="1"/>
  <c r="C110" i="1"/>
  <c r="C109" i="1"/>
  <c r="C79" i="1"/>
  <c r="C78" i="1"/>
  <c r="C77" i="1"/>
  <c r="C76" i="1"/>
  <c r="C75" i="1"/>
  <c r="C74" i="1"/>
  <c r="C73" i="1"/>
  <c r="C72" i="1"/>
  <c r="C71" i="1"/>
  <c r="E55" i="1"/>
  <c r="E66" i="1" s="1"/>
  <c r="G56" i="1"/>
  <c r="G67" i="1" s="1"/>
  <c r="I54" i="1"/>
  <c r="I65" i="1" s="1"/>
  <c r="F53" i="1"/>
  <c r="F64" i="1" s="1"/>
  <c r="F52" i="1"/>
  <c r="F63" i="1" s="1"/>
  <c r="F51" i="1"/>
  <c r="F62" i="1" s="1"/>
  <c r="I49" i="1"/>
  <c r="I60" i="1" s="1"/>
  <c r="B18" i="1"/>
  <c r="B35" i="1" s="1"/>
  <c r="B46" i="1" s="1"/>
  <c r="B57" i="1" s="1"/>
  <c r="B68" i="1" s="1"/>
  <c r="B79" i="1" s="1"/>
  <c r="B90" i="1" s="1"/>
  <c r="B101" i="1" s="1"/>
  <c r="B112" i="1" s="1"/>
  <c r="B17" i="1"/>
  <c r="B34" i="1" s="1"/>
  <c r="B45" i="1" s="1"/>
  <c r="B56" i="1" s="1"/>
  <c r="B67" i="1" s="1"/>
  <c r="B78" i="1" s="1"/>
  <c r="B89" i="1" s="1"/>
  <c r="B100" i="1" s="1"/>
  <c r="B111" i="1" s="1"/>
  <c r="B16" i="1"/>
  <c r="B33" i="1" s="1"/>
  <c r="B44" i="1" s="1"/>
  <c r="B55" i="1" s="1"/>
  <c r="B66" i="1" s="1"/>
  <c r="B77" i="1" s="1"/>
  <c r="B88" i="1" s="1"/>
  <c r="B99" i="1" s="1"/>
  <c r="B110" i="1" s="1"/>
  <c r="B15" i="1"/>
  <c r="B32" i="1" s="1"/>
  <c r="B43" i="1" s="1"/>
  <c r="B54" i="1" s="1"/>
  <c r="B65" i="1" s="1"/>
  <c r="B76" i="1" s="1"/>
  <c r="B87" i="1" s="1"/>
  <c r="B98" i="1" s="1"/>
  <c r="B109" i="1" s="1"/>
  <c r="B14" i="1"/>
  <c r="B31" i="1" s="1"/>
  <c r="B42" i="1" s="1"/>
  <c r="B53" i="1" s="1"/>
  <c r="B64" i="1" s="1"/>
  <c r="B75" i="1" s="1"/>
  <c r="B86" i="1" s="1"/>
  <c r="B97" i="1" s="1"/>
  <c r="B108" i="1" s="1"/>
  <c r="B13" i="1"/>
  <c r="B30" i="1" s="1"/>
  <c r="B41" i="1" s="1"/>
  <c r="B52" i="1" s="1"/>
  <c r="B63" i="1" s="1"/>
  <c r="B74" i="1" s="1"/>
  <c r="B85" i="1" s="1"/>
  <c r="B96" i="1" s="1"/>
  <c r="B107" i="1" s="1"/>
  <c r="B12" i="1"/>
  <c r="B29" i="1" s="1"/>
  <c r="B40" i="1" s="1"/>
  <c r="B51" i="1" s="1"/>
  <c r="B62" i="1" s="1"/>
  <c r="B73" i="1" s="1"/>
  <c r="B84" i="1" s="1"/>
  <c r="B95" i="1" s="1"/>
  <c r="B106" i="1" s="1"/>
  <c r="B11" i="1"/>
  <c r="B28" i="1" s="1"/>
  <c r="B39" i="1" s="1"/>
  <c r="B50" i="1" s="1"/>
  <c r="B61" i="1" s="1"/>
  <c r="B72" i="1" s="1"/>
  <c r="B83" i="1" s="1"/>
  <c r="B94" i="1" s="1"/>
  <c r="B105" i="1" s="1"/>
  <c r="B10" i="1"/>
  <c r="B27" i="1" s="1"/>
  <c r="B38" i="1" s="1"/>
  <c r="B49" i="1" s="1"/>
  <c r="B60" i="1" s="1"/>
  <c r="B71" i="1" s="1"/>
  <c r="B82" i="1" s="1"/>
  <c r="B93" i="1" s="1"/>
  <c r="B104" i="1" s="1"/>
  <c r="C4" i="1"/>
  <c r="E111" i="5" l="1"/>
  <c r="E121" i="5" s="1"/>
  <c r="D89" i="5"/>
  <c r="D99" i="5" s="1"/>
  <c r="E82" i="5"/>
  <c r="E35" i="5" s="1"/>
  <c r="E89" i="5"/>
  <c r="E99" i="5" s="1"/>
  <c r="E90" i="5"/>
  <c r="E100" i="5" s="1"/>
  <c r="C101" i="5"/>
  <c r="C28" i="5"/>
  <c r="F88" i="5"/>
  <c r="F98" i="5" s="1"/>
  <c r="C118" i="5"/>
  <c r="D108" i="5"/>
  <c r="D118" i="5" s="1"/>
  <c r="F110" i="5"/>
  <c r="F120" i="5" s="1"/>
  <c r="E108" i="5"/>
  <c r="E118" i="5" s="1"/>
  <c r="D110" i="5"/>
  <c r="D120" i="5" s="1"/>
  <c r="F108" i="5"/>
  <c r="F118" i="5" s="1"/>
  <c r="E110" i="5"/>
  <c r="E120" i="5" s="1"/>
  <c r="G110" i="5"/>
  <c r="G120" i="5" s="1"/>
  <c r="G88" i="5"/>
  <c r="G98" i="5" s="1"/>
  <c r="C99" i="5"/>
  <c r="F89" i="5"/>
  <c r="F99" i="5" s="1"/>
  <c r="C98" i="5"/>
  <c r="G93" i="5"/>
  <c r="G103" i="5" s="1"/>
  <c r="C146" i="5"/>
  <c r="C136" i="5" s="1"/>
  <c r="D31" i="5"/>
  <c r="D48" i="5" s="1"/>
  <c r="C48" i="5"/>
  <c r="E31" i="5"/>
  <c r="E59" i="5" s="1"/>
  <c r="G24" i="5"/>
  <c r="F24" i="5"/>
  <c r="C152" i="5"/>
  <c r="C41" i="5"/>
  <c r="E24" i="5"/>
  <c r="D24" i="5"/>
  <c r="C52" i="5"/>
  <c r="C58" i="5"/>
  <c r="G30" i="5"/>
  <c r="C158" i="5"/>
  <c r="F30" i="5"/>
  <c r="E30" i="5"/>
  <c r="C47" i="5"/>
  <c r="D30" i="5"/>
  <c r="G32" i="5"/>
  <c r="F32" i="5"/>
  <c r="C49" i="5"/>
  <c r="E32" i="5"/>
  <c r="D32" i="5"/>
  <c r="C60" i="5"/>
  <c r="D59" i="5"/>
  <c r="D124" i="5"/>
  <c r="D114" i="5" s="1"/>
  <c r="D146" i="5"/>
  <c r="D136" i="5" s="1"/>
  <c r="F82" i="5"/>
  <c r="F35" i="5" s="1"/>
  <c r="C56" i="5"/>
  <c r="D28" i="5"/>
  <c r="G28" i="5"/>
  <c r="F28" i="5"/>
  <c r="C45" i="5"/>
  <c r="E28" i="5"/>
  <c r="D82" i="5"/>
  <c r="D35" i="5" s="1"/>
  <c r="D25" i="5"/>
  <c r="F31" i="5"/>
  <c r="D86" i="5"/>
  <c r="D96" i="5" s="1"/>
  <c r="G87" i="5"/>
  <c r="G97" i="5" s="1"/>
  <c r="F92" i="5"/>
  <c r="F102" i="5" s="1"/>
  <c r="C100" i="5"/>
  <c r="F111" i="5"/>
  <c r="F121" i="5" s="1"/>
  <c r="C119" i="5"/>
  <c r="C126" i="5" s="1"/>
  <c r="E146" i="5"/>
  <c r="E136" i="5" s="1"/>
  <c r="E25" i="5"/>
  <c r="C27" i="5"/>
  <c r="G31" i="5"/>
  <c r="C42" i="5"/>
  <c r="E48" i="5"/>
  <c r="E86" i="5"/>
  <c r="E96" i="5" s="1"/>
  <c r="D91" i="5"/>
  <c r="D101" i="5" s="1"/>
  <c r="G92" i="5"/>
  <c r="G102" i="5" s="1"/>
  <c r="C97" i="5"/>
  <c r="G111" i="5"/>
  <c r="G121" i="5" s="1"/>
  <c r="F86" i="5"/>
  <c r="F96" i="5" s="1"/>
  <c r="C102" i="5"/>
  <c r="C159" i="5" s="1"/>
  <c r="C121" i="5"/>
  <c r="C153" i="5"/>
  <c r="G25" i="5"/>
  <c r="C29" i="5"/>
  <c r="C144" i="5" s="1"/>
  <c r="D85" i="5"/>
  <c r="D95" i="5" s="1"/>
  <c r="G86" i="5"/>
  <c r="G96" i="5" s="1"/>
  <c r="E88" i="5"/>
  <c r="E98" i="5" s="1"/>
  <c r="F91" i="5"/>
  <c r="F101" i="5" s="1"/>
  <c r="D93" i="5"/>
  <c r="D103" i="5" s="1"/>
  <c r="E107" i="5"/>
  <c r="E117" i="5" s="1"/>
  <c r="E124" i="5"/>
  <c r="E114" i="5" s="1"/>
  <c r="C147" i="5"/>
  <c r="C137" i="5" s="1"/>
  <c r="F25" i="5"/>
  <c r="C26" i="5"/>
  <c r="C33" i="5" s="1"/>
  <c r="C59" i="5"/>
  <c r="E85" i="5"/>
  <c r="E95" i="5" s="1"/>
  <c r="E93" i="5"/>
  <c r="E103" i="5" s="1"/>
  <c r="F107" i="5"/>
  <c r="F117" i="5" s="1"/>
  <c r="I17" i="4"/>
  <c r="K17" i="4" s="1"/>
  <c r="M17" i="4" s="1"/>
  <c r="N2" i="4"/>
  <c r="I49" i="4" s="1"/>
  <c r="K49" i="4" s="1"/>
  <c r="I13" i="4"/>
  <c r="M16" i="4"/>
  <c r="L16" i="4"/>
  <c r="F29" i="4" s="1"/>
  <c r="O48" i="4"/>
  <c r="M14" i="4"/>
  <c r="M29" i="4"/>
  <c r="K29" i="4"/>
  <c r="L17" i="4"/>
  <c r="F30" i="4" s="1"/>
  <c r="O49" i="4"/>
  <c r="N49" i="4"/>
  <c r="M49" i="4"/>
  <c r="L49" i="4"/>
  <c r="N3" i="4"/>
  <c r="I15" i="4"/>
  <c r="O41" i="4"/>
  <c r="L46" i="4"/>
  <c r="L48" i="4"/>
  <c r="M46" i="4"/>
  <c r="M48" i="4"/>
  <c r="F3" i="4"/>
  <c r="I10" i="4"/>
  <c r="I11" i="4"/>
  <c r="I12" i="4"/>
  <c r="N46" i="4"/>
  <c r="N48" i="4"/>
  <c r="L14" i="4"/>
  <c r="F27" i="4" s="1"/>
  <c r="L9" i="4"/>
  <c r="F22" i="4" s="1"/>
  <c r="L41" i="4"/>
  <c r="F56" i="3"/>
  <c r="F67" i="3" s="1"/>
  <c r="D52" i="3"/>
  <c r="D63" i="3" s="1"/>
  <c r="E52" i="3"/>
  <c r="E63" i="3" s="1"/>
  <c r="D56" i="3"/>
  <c r="D67" i="3" s="1"/>
  <c r="E51" i="3"/>
  <c r="E62" i="3" s="1"/>
  <c r="E55" i="3"/>
  <c r="E66" i="3" s="1"/>
  <c r="D50" i="3"/>
  <c r="D61" i="3" s="1"/>
  <c r="F51" i="3"/>
  <c r="F62" i="3" s="1"/>
  <c r="D54" i="3"/>
  <c r="D65" i="3" s="1"/>
  <c r="F55" i="3"/>
  <c r="F66" i="3" s="1"/>
  <c r="D49" i="3"/>
  <c r="D60" i="3" s="1"/>
  <c r="E50" i="3"/>
  <c r="E61" i="3" s="1"/>
  <c r="E54" i="3"/>
  <c r="E65" i="3" s="1"/>
  <c r="D53" i="3"/>
  <c r="D64" i="3" s="1"/>
  <c r="D57" i="3"/>
  <c r="D68" i="3" s="1"/>
  <c r="F49" i="3"/>
  <c r="F60" i="3" s="1"/>
  <c r="E53" i="3"/>
  <c r="E64" i="3" s="1"/>
  <c r="E57" i="3"/>
  <c r="E68" i="3" s="1"/>
  <c r="F53" i="3"/>
  <c r="F64" i="3" s="1"/>
  <c r="F57" i="3"/>
  <c r="F68" i="3" s="1"/>
  <c r="D49" i="1"/>
  <c r="D60" i="1" s="1"/>
  <c r="H49" i="1"/>
  <c r="H60" i="1" s="1"/>
  <c r="G51" i="1"/>
  <c r="G62" i="1" s="1"/>
  <c r="D52" i="1"/>
  <c r="D63" i="1" s="1"/>
  <c r="D50" i="1"/>
  <c r="D61" i="1" s="1"/>
  <c r="H56" i="1"/>
  <c r="H67" i="1" s="1"/>
  <c r="E49" i="1"/>
  <c r="E60" i="1" s="1"/>
  <c r="F49" i="1"/>
  <c r="F60" i="1" s="1"/>
  <c r="G53" i="1"/>
  <c r="G64" i="1" s="1"/>
  <c r="D54" i="1"/>
  <c r="D65" i="1" s="1"/>
  <c r="G49" i="1"/>
  <c r="G60" i="1" s="1"/>
  <c r="H51" i="1"/>
  <c r="H62" i="1" s="1"/>
  <c r="E52" i="1"/>
  <c r="E63" i="1" s="1"/>
  <c r="H53" i="1"/>
  <c r="H64" i="1" s="1"/>
  <c r="F55" i="1"/>
  <c r="F66" i="1" s="1"/>
  <c r="I56" i="1"/>
  <c r="I67" i="1" s="1"/>
  <c r="F57" i="1"/>
  <c r="F68" i="1" s="1"/>
  <c r="I53" i="1"/>
  <c r="I64" i="1" s="1"/>
  <c r="I51" i="1"/>
  <c r="I62" i="1" s="1"/>
  <c r="G55" i="1"/>
  <c r="G66" i="1" s="1"/>
  <c r="E50" i="1"/>
  <c r="E61" i="1" s="1"/>
  <c r="G52" i="1"/>
  <c r="G63" i="1" s="1"/>
  <c r="E54" i="1"/>
  <c r="E65" i="1" s="1"/>
  <c r="H55" i="1"/>
  <c r="H66" i="1" s="1"/>
  <c r="H57" i="1"/>
  <c r="H68" i="1" s="1"/>
  <c r="F50" i="1"/>
  <c r="F61" i="1" s="1"/>
  <c r="H52" i="1"/>
  <c r="H63" i="1" s="1"/>
  <c r="F54" i="1"/>
  <c r="F65" i="1" s="1"/>
  <c r="I55" i="1"/>
  <c r="I66" i="1" s="1"/>
  <c r="D56" i="1"/>
  <c r="D67" i="1" s="1"/>
  <c r="I57" i="1"/>
  <c r="I68" i="1" s="1"/>
  <c r="G57" i="1"/>
  <c r="G68" i="1" s="1"/>
  <c r="G50" i="1"/>
  <c r="G61" i="1" s="1"/>
  <c r="D51" i="1"/>
  <c r="D62" i="1" s="1"/>
  <c r="I52" i="1"/>
  <c r="I63" i="1" s="1"/>
  <c r="D53" i="1"/>
  <c r="D64" i="1" s="1"/>
  <c r="G54" i="1"/>
  <c r="G65" i="1" s="1"/>
  <c r="E56" i="1"/>
  <c r="E67" i="1" s="1"/>
  <c r="H50" i="1"/>
  <c r="H61" i="1" s="1"/>
  <c r="E51" i="1"/>
  <c r="E62" i="1" s="1"/>
  <c r="E53" i="1"/>
  <c r="E64" i="1" s="1"/>
  <c r="H54" i="1"/>
  <c r="H65" i="1" s="1"/>
  <c r="F56" i="1"/>
  <c r="F67" i="1" s="1"/>
  <c r="D55" i="1"/>
  <c r="D66" i="1" s="1"/>
  <c r="D57" i="1"/>
  <c r="D68" i="1" s="1"/>
  <c r="E57" i="1"/>
  <c r="E68" i="1" s="1"/>
  <c r="C156" i="5" l="1"/>
  <c r="C104" i="5"/>
  <c r="E159" i="5"/>
  <c r="F104" i="5"/>
  <c r="F38" i="5" s="1"/>
  <c r="G104" i="5"/>
  <c r="G38" i="5" s="1"/>
  <c r="C36" i="5"/>
  <c r="C37" i="5"/>
  <c r="E153" i="5"/>
  <c r="E42" i="5"/>
  <c r="E53" i="5"/>
  <c r="F147" i="5"/>
  <c r="F137" i="5" s="1"/>
  <c r="F60" i="5"/>
  <c r="F49" i="5"/>
  <c r="F125" i="5"/>
  <c r="F115" i="5" s="1"/>
  <c r="G156" i="5"/>
  <c r="G45" i="5"/>
  <c r="G56" i="5"/>
  <c r="D159" i="5"/>
  <c r="C43" i="5"/>
  <c r="E26" i="5"/>
  <c r="D26" i="5"/>
  <c r="F26" i="5"/>
  <c r="C54" i="5"/>
  <c r="C154" i="5"/>
  <c r="G26" i="5"/>
  <c r="D56" i="5"/>
  <c r="D156" i="5"/>
  <c r="D45" i="5"/>
  <c r="D49" i="5"/>
  <c r="D147" i="5"/>
  <c r="D137" i="5" s="1"/>
  <c r="D60" i="5"/>
  <c r="D125" i="5"/>
  <c r="D115" i="5" s="1"/>
  <c r="E123" i="5"/>
  <c r="E113" i="5" s="1"/>
  <c r="E47" i="5"/>
  <c r="E145" i="5"/>
  <c r="E135" i="5" s="1"/>
  <c r="E58" i="5"/>
  <c r="C38" i="5"/>
  <c r="G153" i="5"/>
  <c r="G42" i="5"/>
  <c r="G53" i="5"/>
  <c r="F124" i="5"/>
  <c r="F114" i="5" s="1"/>
  <c r="F48" i="5"/>
  <c r="F146" i="5"/>
  <c r="F136" i="5" s="1"/>
  <c r="F59" i="5"/>
  <c r="G60" i="5"/>
  <c r="G125" i="5"/>
  <c r="G115" i="5" s="1"/>
  <c r="G147" i="5"/>
  <c r="G137" i="5" s="1"/>
  <c r="G49" i="5"/>
  <c r="F52" i="5"/>
  <c r="F41" i="5"/>
  <c r="F152" i="5"/>
  <c r="D123" i="5"/>
  <c r="D113" i="5" s="1"/>
  <c r="D47" i="5"/>
  <c r="D145" i="5"/>
  <c r="D135" i="5" s="1"/>
  <c r="D58" i="5"/>
  <c r="D104" i="5"/>
  <c r="D38" i="5" s="1"/>
  <c r="E49" i="5"/>
  <c r="E147" i="5"/>
  <c r="E137" i="5" s="1"/>
  <c r="E60" i="5"/>
  <c r="E125" i="5"/>
  <c r="E115" i="5" s="1"/>
  <c r="G124" i="5"/>
  <c r="G114" i="5" s="1"/>
  <c r="G48" i="5"/>
  <c r="G146" i="5"/>
  <c r="G136" i="5" s="1"/>
  <c r="G59" i="5"/>
  <c r="C148" i="5"/>
  <c r="C134" i="5"/>
  <c r="E41" i="5"/>
  <c r="E52" i="5"/>
  <c r="E152" i="5"/>
  <c r="F156" i="5"/>
  <c r="F45" i="5"/>
  <c r="F56" i="5"/>
  <c r="E104" i="5"/>
  <c r="E38" i="5" s="1"/>
  <c r="D153" i="5"/>
  <c r="D42" i="5"/>
  <c r="D53" i="5"/>
  <c r="G52" i="5"/>
  <c r="G152" i="5"/>
  <c r="G41" i="5"/>
  <c r="F153" i="5"/>
  <c r="F42" i="5"/>
  <c r="F53" i="5"/>
  <c r="F47" i="5"/>
  <c r="F145" i="5"/>
  <c r="F135" i="5" s="1"/>
  <c r="F58" i="5"/>
  <c r="F123" i="5"/>
  <c r="F113" i="5" s="1"/>
  <c r="D152" i="5"/>
  <c r="D41" i="5"/>
  <c r="D52" i="5"/>
  <c r="C157" i="5"/>
  <c r="F29" i="5"/>
  <c r="E29" i="5"/>
  <c r="C46" i="5"/>
  <c r="D29" i="5"/>
  <c r="C57" i="5"/>
  <c r="G29" i="5"/>
  <c r="G27" i="5"/>
  <c r="C155" i="5"/>
  <c r="F27" i="5"/>
  <c r="C44" i="5"/>
  <c r="E27" i="5"/>
  <c r="D27" i="5"/>
  <c r="C55" i="5"/>
  <c r="E156" i="5"/>
  <c r="E56" i="5"/>
  <c r="E45" i="5"/>
  <c r="C160" i="5"/>
  <c r="G47" i="5"/>
  <c r="G145" i="5"/>
  <c r="G135" i="5" s="1"/>
  <c r="G58" i="5"/>
  <c r="G123" i="5"/>
  <c r="G113" i="5" s="1"/>
  <c r="M27" i="4"/>
  <c r="K27" i="4"/>
  <c r="I18" i="4"/>
  <c r="J44" i="4"/>
  <c r="J43" i="4"/>
  <c r="J42" i="4"/>
  <c r="J47" i="4"/>
  <c r="J13" i="4"/>
  <c r="K13" i="4" s="1"/>
  <c r="J12" i="4"/>
  <c r="J11" i="4"/>
  <c r="J10" i="4"/>
  <c r="J45" i="4"/>
  <c r="J15" i="4"/>
  <c r="K15" i="4" s="1"/>
  <c r="K30" i="4"/>
  <c r="M30" i="4"/>
  <c r="L30" i="4"/>
  <c r="K12" i="4"/>
  <c r="K22" i="4"/>
  <c r="M22" i="4"/>
  <c r="K11" i="4"/>
  <c r="I47" i="4"/>
  <c r="I45" i="4"/>
  <c r="I44" i="4"/>
  <c r="K44" i="4" s="1"/>
  <c r="I43" i="4"/>
  <c r="K43" i="4" s="1"/>
  <c r="I42" i="4"/>
  <c r="C39" i="5" l="1"/>
  <c r="G33" i="5"/>
  <c r="D160" i="5"/>
  <c r="F159" i="5"/>
  <c r="G158" i="5"/>
  <c r="G160" i="5"/>
  <c r="F33" i="5"/>
  <c r="C161" i="5"/>
  <c r="D33" i="5"/>
  <c r="E158" i="5"/>
  <c r="E54" i="5"/>
  <c r="E154" i="5"/>
  <c r="E43" i="5"/>
  <c r="F44" i="5"/>
  <c r="F55" i="5"/>
  <c r="F155" i="5"/>
  <c r="F57" i="5"/>
  <c r="F122" i="5"/>
  <c r="F144" i="5"/>
  <c r="F46" i="5"/>
  <c r="D155" i="5"/>
  <c r="D44" i="5"/>
  <c r="D55" i="5"/>
  <c r="G44" i="5"/>
  <c r="G55" i="5"/>
  <c r="G155" i="5"/>
  <c r="F158" i="5"/>
  <c r="G154" i="5"/>
  <c r="G43" i="5"/>
  <c r="G54" i="5"/>
  <c r="D46" i="5"/>
  <c r="D144" i="5"/>
  <c r="D57" i="5"/>
  <c r="D122" i="5"/>
  <c r="E144" i="5"/>
  <c r="E57" i="5"/>
  <c r="E122" i="5"/>
  <c r="E46" i="5"/>
  <c r="D158" i="5"/>
  <c r="G57" i="5"/>
  <c r="G122" i="5"/>
  <c r="G46" i="5"/>
  <c r="G144" i="5"/>
  <c r="E33" i="5"/>
  <c r="G159" i="5"/>
  <c r="F54" i="5"/>
  <c r="F154" i="5"/>
  <c r="F43" i="5"/>
  <c r="E155" i="5"/>
  <c r="E44" i="5"/>
  <c r="E55" i="5"/>
  <c r="E160" i="5"/>
  <c r="D54" i="5"/>
  <c r="D43" i="5"/>
  <c r="D154" i="5"/>
  <c r="F160" i="5"/>
  <c r="M15" i="4"/>
  <c r="L15" i="4"/>
  <c r="F28" i="4" s="1"/>
  <c r="K42" i="4"/>
  <c r="I50" i="4"/>
  <c r="J50" i="4"/>
  <c r="L43" i="4"/>
  <c r="O43" i="4"/>
  <c r="N43" i="4"/>
  <c r="M43" i="4"/>
  <c r="O44" i="4"/>
  <c r="N44" i="4"/>
  <c r="M44" i="4"/>
  <c r="L44" i="4"/>
  <c r="K18" i="4"/>
  <c r="K45" i="4"/>
  <c r="M12" i="4"/>
  <c r="L12" i="4"/>
  <c r="F25" i="4" s="1"/>
  <c r="J18" i="4"/>
  <c r="K10" i="4"/>
  <c r="K47" i="4"/>
  <c r="M11" i="4"/>
  <c r="L11" i="4"/>
  <c r="F24" i="4" s="1"/>
  <c r="M13" i="4"/>
  <c r="L13" i="4"/>
  <c r="F26" i="4" s="1"/>
  <c r="E157" i="5" l="1"/>
  <c r="E161" i="5"/>
  <c r="F112" i="5"/>
  <c r="F126" i="5"/>
  <c r="F36" i="5" s="1"/>
  <c r="G148" i="5"/>
  <c r="G37" i="5" s="1"/>
  <c r="G134" i="5"/>
  <c r="E112" i="5"/>
  <c r="E126" i="5"/>
  <c r="E36" i="5" s="1"/>
  <c r="E39" i="5" s="1"/>
  <c r="F148" i="5"/>
  <c r="F37" i="5" s="1"/>
  <c r="F134" i="5"/>
  <c r="G157" i="5"/>
  <c r="G161" i="5" s="1"/>
  <c r="G112" i="5"/>
  <c r="G126" i="5"/>
  <c r="G36" i="5" s="1"/>
  <c r="G39" i="5" s="1"/>
  <c r="D112" i="5"/>
  <c r="D126" i="5"/>
  <c r="D36" i="5" s="1"/>
  <c r="D148" i="5"/>
  <c r="D37" i="5" s="1"/>
  <c r="D134" i="5"/>
  <c r="F157" i="5"/>
  <c r="F161" i="5" s="1"/>
  <c r="E148" i="5"/>
  <c r="E37" i="5" s="1"/>
  <c r="E134" i="5"/>
  <c r="D157" i="5"/>
  <c r="D161" i="5" s="1"/>
  <c r="K50" i="4"/>
  <c r="M25" i="4"/>
  <c r="K25" i="4"/>
  <c r="K24" i="4"/>
  <c r="M24" i="4"/>
  <c r="K26" i="4"/>
  <c r="M26" i="4"/>
  <c r="O45" i="4"/>
  <c r="N45" i="4"/>
  <c r="M45" i="4"/>
  <c r="L45" i="4"/>
  <c r="O47" i="4"/>
  <c r="N47" i="4"/>
  <c r="M47" i="4"/>
  <c r="L47" i="4"/>
  <c r="M10" i="4"/>
  <c r="L10" i="4"/>
  <c r="F23" i="4" s="1"/>
  <c r="M28" i="4"/>
  <c r="K28" i="4"/>
  <c r="L42" i="4"/>
  <c r="M42" i="4"/>
  <c r="O42" i="4"/>
  <c r="N42" i="4"/>
  <c r="D39" i="5" l="1"/>
  <c r="F39" i="5"/>
  <c r="M23" i="4"/>
  <c r="K2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tc={AA6BD943-5087-4819-BF0B-BE2302CF16E5}</author>
  </authors>
  <commentList>
    <comment ref="F21" authorId="0" shapeId="0" xr:uid="{AA6BD943-5087-4819-BF0B-BE2302CF16E5}">
      <text>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Για ολοκλήρωση της μετάβασης στο τέταρτο έτος, εισάγετε τιμή μικρότερη του 100% σε αυτό το κελί</t>
      </text>
    </comment>
  </commentList>
</comments>
</file>

<file path=xl/sharedStrings.xml><?xml version="1.0" encoding="utf-8"?>
<sst xmlns="http://schemas.openxmlformats.org/spreadsheetml/2006/main" count="445" uniqueCount="201">
  <si>
    <t>Σενάρια επιμερισμού σύμφωνα με ισχύουσες διατάξεις ΚΔΔ</t>
  </si>
  <si>
    <t>Σενάριο τελικών ΧΧΔ</t>
  </si>
  <si>
    <t>Τρέχουσα μεθοδολογία</t>
  </si>
  <si>
    <t>Σενάριο 1</t>
  </si>
  <si>
    <t>Σενάριο 1A</t>
  </si>
  <si>
    <t>Σενάριο 2</t>
  </si>
  <si>
    <t>Σενάριο 2A</t>
  </si>
  <si>
    <t>Σενάριο 3</t>
  </si>
  <si>
    <t>Σενάριο 3A</t>
  </si>
  <si>
    <t>Απαλλαγές Αγροτικών</t>
  </si>
  <si>
    <t>Πλήρης απαλλαγή</t>
  </si>
  <si>
    <t>Εξαίρεση από σκέλος ισχύος</t>
  </si>
  <si>
    <t>Εξαίρεση από σκέλος ισχύος/ενέργειας</t>
  </si>
  <si>
    <t>% Απαιτ. Εσόδου μέσω Μεταβλητής Χρέωσης</t>
  </si>
  <si>
    <t>Μείωση ΧΧΔ Ενέργειας Αγροτικών</t>
  </si>
  <si>
    <t>Μείωση ΧΧΔ Ισχύος Αγροτικών</t>
  </si>
  <si>
    <t>Επιμερισμός κόστους μετρήσεων &amp; εξυπηρέτησης πελατών (κλείδα)</t>
  </si>
  <si>
    <t>Ισχύς/Ενέργεια</t>
  </si>
  <si>
    <t>Αρ. Μετρητών</t>
  </si>
  <si>
    <t>Επιμερισμός Απαιτούμενου Εσόδου</t>
  </si>
  <si>
    <t>Ανάκτηση RR βάσει Σταθερής / Πάγιας / Μεταβλητής Χρέωσης</t>
  </si>
  <si>
    <t>Σταθερή (ανά μετρητή)</t>
  </si>
  <si>
    <t>Πάγια (βάσει Συμφωνημένης Ισχύος)</t>
  </si>
  <si>
    <t>Πάγια (βάσει Μέσου Φορτίου Αιχμής)</t>
  </si>
  <si>
    <t>Μεταβλητή (βάσει ενέργειας)</t>
  </si>
  <si>
    <t>Συνολική ετήσια χρέωση ΧΔ ανά MWh (€ / MWh)</t>
  </si>
  <si>
    <t>Συνολική ετήσια χρέωση ΧΔ ανά πελάτη (€ / μετρητή / έτος)</t>
  </si>
  <si>
    <t>Μεταβολή έναντι παρούσας κατάστασης (€ / μετρητή / έτος)</t>
  </si>
  <si>
    <t>Μεταβολή έναντι παρούσας κατάστασης (%)</t>
  </si>
  <si>
    <t>Σ-ΜΧΧΔ: Σταθερή Χρέωση (€ /μετρητή / έτος)</t>
  </si>
  <si>
    <t>Μ-ΜΧΧΔ: Χρέωση Ενέργειας (c€ / kWh)</t>
  </si>
  <si>
    <t>Π-ΜΧΧΔ: Χρέωση Συμφωνημένης Ισχύος (€ / kVA / έτος)</t>
  </si>
  <si>
    <r>
      <t>Π-ΜΧΧΔ: Χρέωση Mέσου Φορτίου Αιχμής (€ / kW / έτος)</t>
    </r>
    <r>
      <rPr>
        <b/>
        <vertAlign val="superscript"/>
        <sz val="10"/>
        <color theme="0"/>
        <rFont val="Arial"/>
        <family val="2"/>
        <charset val="161"/>
      </rPr>
      <t>1</t>
    </r>
  </si>
  <si>
    <r>
      <rPr>
        <vertAlign val="superscript"/>
        <sz val="10"/>
        <rFont val="Arial"/>
        <family val="2"/>
        <charset val="161"/>
      </rPr>
      <t>1</t>
    </r>
    <r>
      <rPr>
        <sz val="10"/>
        <rFont val="Arial"/>
        <family val="2"/>
        <charset val="161"/>
      </rPr>
      <t xml:space="preserve"> H σύγκριση της Π-ΜΧΧΔ βάσει ζήτησης αιχμής (Μέσο Φορτίο στην Αιχμή) δεν είναι δυνατή λόγω διαφοροποίησης της βάσης υπολογισμού μεταξύ τρέχουσας και νέας μεθοδολογίας.</t>
    </r>
  </si>
  <si>
    <t>ΕΦ</t>
  </si>
  <si>
    <t>ΕΦΛΧ</t>
  </si>
  <si>
    <t>ΕΦΕΦ</t>
  </si>
  <si>
    <t>ΕΦΕΚ</t>
  </si>
  <si>
    <r>
      <rPr>
        <b/>
        <sz val="11"/>
        <color indexed="8"/>
        <rFont val="Tahoma"/>
        <family val="2"/>
      </rPr>
      <t xml:space="preserve">7: </t>
    </r>
    <r>
      <rPr>
        <sz val="11"/>
        <color indexed="8"/>
        <rFont val="Tahoma"/>
        <family val="2"/>
        <charset val="161"/>
      </rPr>
      <t>ΧΤ Λοιποί με Ωριαίο Μετρητή</t>
    </r>
  </si>
  <si>
    <r>
      <rPr>
        <b/>
        <sz val="11"/>
        <color indexed="8"/>
        <rFont val="Tahoma"/>
        <family val="2"/>
      </rPr>
      <t xml:space="preserve">5: </t>
    </r>
    <r>
      <rPr>
        <sz val="11"/>
        <color indexed="8"/>
        <rFont val="Tahoma"/>
        <family val="2"/>
        <charset val="161"/>
      </rPr>
      <t>ΧΤ Λοιποί χωρίς Ωριαίο Μετρητή</t>
    </r>
  </si>
  <si>
    <t>ΕΦΕΘ</t>
  </si>
  <si>
    <t>ΦΟΠ</t>
  </si>
  <si>
    <t>Γ4/ΛΜ-5%</t>
  </si>
  <si>
    <t>Γ4/ΛΜ</t>
  </si>
  <si>
    <t>Γ4/ΛΛ-5%</t>
  </si>
  <si>
    <t>Γ4/ΛΛ</t>
  </si>
  <si>
    <t>Τ49ΛΜ</t>
  </si>
  <si>
    <t>Τ49ΛΛ</t>
  </si>
  <si>
    <t>Τ49/2</t>
  </si>
  <si>
    <r>
      <rPr>
        <b/>
        <sz val="11"/>
        <color indexed="8"/>
        <rFont val="Tahoma"/>
        <family val="2"/>
      </rPr>
      <t xml:space="preserve">4: </t>
    </r>
    <r>
      <rPr>
        <sz val="11"/>
        <color indexed="8"/>
        <rFont val="Tahoma"/>
        <family val="2"/>
        <charset val="161"/>
      </rPr>
      <t>ΧΤ ΦΟΠ, χωρίς Ωριαίο Μετρητή</t>
    </r>
  </si>
  <si>
    <t>Τ49/1</t>
  </si>
  <si>
    <t>MAT</t>
  </si>
  <si>
    <t>Τ33ΑΡ</t>
  </si>
  <si>
    <t>Τ33Α/ΧΤ</t>
  </si>
  <si>
    <t>Γ22Β/ΜΑΤ A</t>
  </si>
  <si>
    <t>Γ22Β/ΜΑΤ</t>
  </si>
  <si>
    <t>Γ22/ΜΑΤ A</t>
  </si>
  <si>
    <t>Γ22/ΜΑΤ</t>
  </si>
  <si>
    <r>
      <rPr>
        <b/>
        <sz val="11"/>
        <color indexed="8"/>
        <rFont val="Tahoma"/>
        <family val="2"/>
      </rPr>
      <t xml:space="preserve">6: </t>
    </r>
    <r>
      <rPr>
        <sz val="11"/>
        <color indexed="8"/>
        <rFont val="Tahoma"/>
        <family val="2"/>
        <charset val="161"/>
      </rPr>
      <t>ΧΤ Αγροτικοί με Ωριαίο Μετρητή</t>
    </r>
  </si>
  <si>
    <r>
      <rPr>
        <b/>
        <sz val="11"/>
        <color theme="0"/>
        <rFont val="Tahoma"/>
        <family val="2"/>
      </rPr>
      <t xml:space="preserve">1: </t>
    </r>
    <r>
      <rPr>
        <sz val="11"/>
        <color theme="0"/>
        <rFont val="Tahoma"/>
        <family val="2"/>
      </rPr>
      <t>ΧΤ Αγροτικοί Χωρίς Ωριαίο Μετρητή</t>
    </r>
  </si>
  <si>
    <t>Γ21/ΜΑΤ</t>
  </si>
  <si>
    <t>Γ21+Γ22+Γ23</t>
  </si>
  <si>
    <t>Γ23N/Β</t>
  </si>
  <si>
    <t>Γ23H/Β</t>
  </si>
  <si>
    <t>Γ22/Β ΜΕ ΑΕΡΓΑ</t>
  </si>
  <si>
    <t>Γ22/Β</t>
  </si>
  <si>
    <r>
      <rPr>
        <b/>
        <sz val="11"/>
        <color theme="0"/>
        <rFont val="Tahoma"/>
        <family val="2"/>
      </rPr>
      <t xml:space="preserve">3: </t>
    </r>
    <r>
      <rPr>
        <sz val="11"/>
        <color theme="0"/>
        <rFont val="Tahoma"/>
        <family val="2"/>
        <charset val="161"/>
      </rPr>
      <t>ΧΤ Βιομηχανικοί χωρίς Ωριαίο Μετρητή</t>
    </r>
  </si>
  <si>
    <t>Γ21/Β</t>
  </si>
  <si>
    <t>ΝΑΙ</t>
  </si>
  <si>
    <t>Όλες</t>
  </si>
  <si>
    <t>Λοιπές</t>
  </si>
  <si>
    <t>ΜΤ</t>
  </si>
  <si>
    <t>Αγροτική</t>
  </si>
  <si>
    <t>Γ23N</t>
  </si>
  <si>
    <r>
      <rPr>
        <sz val="10"/>
        <rFont val="Calibri"/>
        <family val="2"/>
      </rPr>
      <t>≥</t>
    </r>
    <r>
      <rPr>
        <sz val="10"/>
        <rFont val="Arial"/>
        <family val="2"/>
      </rPr>
      <t>85kVA</t>
    </r>
  </si>
  <si>
    <t>ΧΤ</t>
  </si>
  <si>
    <t>Γ23H</t>
  </si>
  <si>
    <t>Γ22 ΜΕ ΑΕΡΓΑ</t>
  </si>
  <si>
    <t>εξ υπολοίπου</t>
  </si>
  <si>
    <t>OXI</t>
  </si>
  <si>
    <t>≤55kVA</t>
  </si>
  <si>
    <t>Γ22</t>
  </si>
  <si>
    <r>
      <rPr>
        <b/>
        <sz val="11"/>
        <color theme="0"/>
        <rFont val="Tahoma"/>
        <family val="2"/>
      </rPr>
      <t xml:space="preserve">2: </t>
    </r>
    <r>
      <rPr>
        <sz val="11"/>
        <color theme="0"/>
        <rFont val="Tahoma"/>
        <family val="2"/>
        <charset val="161"/>
      </rPr>
      <t>ΧΤ Εμπορικοί χωρίς Ωριαίο Μετρητή</t>
    </r>
  </si>
  <si>
    <t>Γ21</t>
  </si>
  <si>
    <t>Βιομηχανική</t>
  </si>
  <si>
    <t>Γ1+ΓΤ+ΓΠ</t>
  </si>
  <si>
    <t>Εμπορική</t>
  </si>
  <si>
    <t>ΓΠ</t>
  </si>
  <si>
    <r>
      <rPr>
        <sz val="10"/>
        <rFont val="Calibri"/>
        <family val="2"/>
      </rPr>
      <t>≤</t>
    </r>
    <r>
      <rPr>
        <sz val="10"/>
        <rFont val="Arial"/>
        <family val="2"/>
      </rPr>
      <t>55kVA</t>
    </r>
  </si>
  <si>
    <t>ΚΟΤ</t>
  </si>
  <si>
    <t>ΓΤ</t>
  </si>
  <si>
    <t>Σύνολο</t>
  </si>
  <si>
    <t>Διασυνδεδεμένο</t>
  </si>
  <si>
    <t>Γ1Ν ΝΥΧΤΑΣ</t>
  </si>
  <si>
    <t>Γ1+Γ1Ν</t>
  </si>
  <si>
    <t>Εκτίμηση συνολικής Ισχύος Σύνδεσης 2017  (MVA)</t>
  </si>
  <si>
    <t>Εκτίμηση αριθμού μετρητών 2017</t>
  </si>
  <si>
    <t>Εκτίμηση συνολικής κατανάλωσης 2017  (MWh)</t>
  </si>
  <si>
    <t>Συνάγεται καμπύλη διακύμανσης</t>
  </si>
  <si>
    <t>Ωριαία μέτρηση φορτίου</t>
  </si>
  <si>
    <t>Ενδεικτική Ισχύς Σύνδεσης</t>
  </si>
  <si>
    <t>Χρήση Ενέργειας</t>
  </si>
  <si>
    <t>Επίπεδο τάσης</t>
  </si>
  <si>
    <t>Κατηγορία ΧΧΔ Καταναλωτών</t>
  </si>
  <si>
    <t>250 KVA</t>
  </si>
  <si>
    <t>135 KVA</t>
  </si>
  <si>
    <t>85 KVA</t>
  </si>
  <si>
    <t>55 KVA</t>
  </si>
  <si>
    <t>35 KVA</t>
  </si>
  <si>
    <t>25 KVA</t>
  </si>
  <si>
    <t>15 KVA</t>
  </si>
  <si>
    <t>1Φ</t>
  </si>
  <si>
    <t>Περαιτέρω Βελτιώσεις Μεθοδολογίας (απαιτούν τροποποίηση ΚΔΔ)</t>
  </si>
  <si>
    <t>Παρούσα κατάσταση</t>
  </si>
  <si>
    <r>
      <rPr>
        <sz val="10"/>
        <rFont val="Arial"/>
        <family val="2"/>
        <charset val="161"/>
      </rPr>
      <t>Επιμερισμός/Ανάκτηση σύμφωνα με διατάξεις ΚΔΔ</t>
    </r>
    <r>
      <rPr>
        <b/>
        <sz val="10"/>
        <rFont val="Arial"/>
        <family val="2"/>
      </rPr>
      <t xml:space="preserve">
Σενάριο 1Α</t>
    </r>
  </si>
  <si>
    <r>
      <t xml:space="preserve">Βελτίωση #1
</t>
    </r>
    <r>
      <rPr>
        <sz val="10"/>
        <rFont val="Arial"/>
        <family val="2"/>
      </rPr>
      <t xml:space="preserve">
</t>
    </r>
    <r>
      <rPr>
        <b/>
        <sz val="10"/>
        <rFont val="Arial"/>
        <family val="2"/>
        <charset val="161"/>
      </rPr>
      <t>Ανάκτηση 65% RR Κατηγ. 6-9 μέσω Συμφ.Ισχύος</t>
    </r>
  </si>
  <si>
    <r>
      <t xml:space="preserve">Βελτίωση #2
</t>
    </r>
    <r>
      <rPr>
        <sz val="10"/>
        <rFont val="Arial"/>
        <family val="2"/>
      </rPr>
      <t xml:space="preserve">
Βελτίωση #1 + </t>
    </r>
    <r>
      <rPr>
        <b/>
        <sz val="10"/>
        <rFont val="Arial"/>
        <family val="2"/>
        <charset val="161"/>
      </rPr>
      <t>Στάθμιση (80%) ΜΦΑ μηνών χαμηλού φορτίου</t>
    </r>
  </si>
  <si>
    <t>Επιμερισμός κόστους μετρήσεων (κλείδα)</t>
  </si>
  <si>
    <t>Ισχύς</t>
  </si>
  <si>
    <t>RR</t>
  </si>
  <si>
    <t>Μεταβολή έναντι παρ. κατάστασης (%)</t>
  </si>
  <si>
    <r>
      <t>Π-ΜΧΧΔ: Χρέωση Mέσου Φορτίου Αιχμής (€ / kW / έτος)</t>
    </r>
    <r>
      <rPr>
        <b/>
        <vertAlign val="superscript"/>
        <sz val="10"/>
        <color theme="0"/>
        <rFont val="Arial"/>
        <family val="2"/>
        <charset val="161"/>
      </rPr>
      <t>1</t>
    </r>
    <r>
      <rPr>
        <b/>
        <sz val="10"/>
        <color theme="0"/>
        <rFont val="Arial"/>
        <family val="2"/>
      </rPr>
      <t xml:space="preserve">
Μήνες Υψηλού Φορτίου</t>
    </r>
  </si>
  <si>
    <r>
      <t>Π-ΜΧΧΔ: Χρέωση Mέσου Φορτίου Αιχμής (€ / kW / έτος)</t>
    </r>
    <r>
      <rPr>
        <b/>
        <vertAlign val="superscript"/>
        <sz val="10"/>
        <color theme="0"/>
        <rFont val="Arial"/>
        <family val="2"/>
        <charset val="161"/>
      </rPr>
      <t>1</t>
    </r>
    <r>
      <rPr>
        <b/>
        <sz val="10"/>
        <color theme="0"/>
        <rFont val="Arial"/>
        <family val="2"/>
      </rPr>
      <t xml:space="preserve">
Μήνες Χαμηλού Φορτίου</t>
    </r>
  </si>
  <si>
    <r>
      <t>1</t>
    </r>
    <r>
      <rPr>
        <sz val="10"/>
        <rFont val="Arial"/>
        <family val="2"/>
        <charset val="161"/>
      </rPr>
      <t xml:space="preserve"> H σύγκριση της Π-ΜΧΧΔ βάσει ζήτησης αιχμής (Μέσο Φορτίο στην Αιχμή) δεν είναι δυνατή λόγω διαφοροποίησης της βάσης υπολογισμού μεταξύ τρέχουσας και νέας μεθοδολογίας.</t>
    </r>
  </si>
  <si>
    <t>Απαιτούμενο έσοδο</t>
  </si>
  <si>
    <t>Επιμερισμός Κόστους Πρωτεύοντος</t>
  </si>
  <si>
    <t>2017-2019</t>
  </si>
  <si>
    <t>2014-2016'</t>
  </si>
  <si>
    <t>2014-2016</t>
  </si>
  <si>
    <t>υπολογισμός ΧΧΔ 2017 (απόφαση ΡΑΕ)</t>
  </si>
  <si>
    <t>Κόστος Πρωτεύοντος</t>
  </si>
  <si>
    <t>Κόστος Δευτερεύοντος</t>
  </si>
  <si>
    <t>Πρωτ.</t>
  </si>
  <si>
    <t>Δευτ.</t>
  </si>
  <si>
    <t>Μετρητές</t>
  </si>
  <si>
    <t>MWh</t>
  </si>
  <si>
    <t>ΧΤ Αγροτικοί Χωρίς Ωριαίο Μετρητή</t>
  </si>
  <si>
    <t>ΧΤ Εμπορικοί χωρίς Ωριαίο Μετρητή</t>
  </si>
  <si>
    <t>ΧΤ Βιομηχανικοί χωρίς Ωριαίο Μετρητή</t>
  </si>
  <si>
    <t>ΧΤ ΦΟΠ, χωρίς Ωριαίο Μετρητή</t>
  </si>
  <si>
    <t>ΧΤ Λοιποί χωρίς Ωριαίο Μετρητή</t>
  </si>
  <si>
    <t>ΧΤ Αγροτικοί με Ωριαίο Μετρητή</t>
  </si>
  <si>
    <t>ΧΤ Λοιποί με Ωριαίο Μετρητή</t>
  </si>
  <si>
    <t>MΤ Αγροτικοί με Ωριαίο Μετρητή</t>
  </si>
  <si>
    <t>MΤ Λοιποί με Ωριαίο Μετρητή</t>
  </si>
  <si>
    <t>Επιμερισμός Απαιτούμενου Εσόδου &amp; υπολογισμός ΜΧΧΔ βάσει τρέχουσας μεθοδολογίας (για υπολογισμό χρεώσεων μετάβασης)</t>
  </si>
  <si>
    <r>
      <t>Προβλέψεις μεγεθών πελατών  2017</t>
    </r>
    <r>
      <rPr>
        <b/>
        <vertAlign val="superscript"/>
        <sz val="9"/>
        <color theme="0"/>
        <rFont val="Arial"/>
        <family val="2"/>
      </rPr>
      <t>(1)</t>
    </r>
  </si>
  <si>
    <r>
      <t>Επιμερισμός Απαιτούμενου Εσόδου 2017</t>
    </r>
    <r>
      <rPr>
        <b/>
        <vertAlign val="superscript"/>
        <sz val="9"/>
        <color theme="0"/>
        <rFont val="Arial"/>
        <family val="2"/>
      </rPr>
      <t>(2)</t>
    </r>
  </si>
  <si>
    <t>Ισχύς Σύνδεσης (MVA)</t>
  </si>
  <si>
    <t>%</t>
  </si>
  <si>
    <t>€/MWh</t>
  </si>
  <si>
    <r>
      <t>ΜΜΖΑ (MW)</t>
    </r>
    <r>
      <rPr>
        <vertAlign val="superscript"/>
        <sz val="9"/>
        <rFont val="Arial"/>
        <family val="2"/>
      </rPr>
      <t>(3)</t>
    </r>
  </si>
  <si>
    <t>ΜΜΧΔ</t>
  </si>
  <si>
    <t>Επιμερισμός RR
(προβλ.2017)</t>
  </si>
  <si>
    <t>% Χρέωση Συμφ. Ισχύος</t>
  </si>
  <si>
    <t>% Χρέωση Ζήτησης Αιχμής</t>
  </si>
  <si>
    <t>% Χρέωση Ενέργειας</t>
  </si>
  <si>
    <t>cosφ</t>
  </si>
  <si>
    <t>Συμφ.Ισχ.
€/kVA/έτος</t>
  </si>
  <si>
    <t>ΜΜΖΑ
€/kW/έτος</t>
  </si>
  <si>
    <r>
      <t>c€/kWh</t>
    </r>
    <r>
      <rPr>
        <b/>
        <vertAlign val="superscript"/>
        <sz val="9"/>
        <rFont val="Arial"/>
        <family val="2"/>
        <charset val="161"/>
      </rPr>
      <t>(2)</t>
    </r>
  </si>
  <si>
    <t>Σημειώσεις</t>
  </si>
  <si>
    <t>(1)</t>
  </si>
  <si>
    <t>Για τον επιμερισμό RR/υπολογισμό ΜΧΧΔ βάσει τρέχουσας και νέας μεθοδολογίας, χρησιμοποιούνται τα ίδια δεδομένα πελατών &amp; καταναλώσεων. Περιλαμβάνονται νυχτερινές καταναλώσεις</t>
  </si>
  <si>
    <t>(2)</t>
  </si>
  <si>
    <t>Επιμερίζεται ΧΧΔ και στις νυχτερινές καταναλώσεις πελατών. Απαλλάσσονται μόνο οι αγροτικοί πελάτες.</t>
  </si>
  <si>
    <t>(3)</t>
  </si>
  <si>
    <t>Για πληροφοριακούς λόγους. Δεν χρησιμοποιείται για τον καθορισμό των μεταβατικών χρεώσεων</t>
  </si>
  <si>
    <t>Επιμερισμός Απαιτούμενου Εσόδου &amp; υπολογισμός ΜΧΧΔ βάσει τρέχουσας μεθοδολογίας (για συγκρίσεις)</t>
  </si>
  <si>
    <t>Προβλέψεις μεγεθών πελατών  2017</t>
  </si>
  <si>
    <t>(4)</t>
  </si>
  <si>
    <t>€/μετρητή/έτος</t>
  </si>
  <si>
    <t>Περιλαμβάνονται νυχτερινές καταναλώσεις</t>
  </si>
  <si>
    <t>Επιμερισμός σύμφωνα με τρέχουσα μεθοδολογία (Απαλλάσσονται αγροτικοί πελάτες και νυχτερινές καταναλώσεις)</t>
  </si>
  <si>
    <t>€ / MWh, εξαιρούμενων νυχτερινών καταναλώσεων</t>
  </si>
  <si>
    <t>€ / MWh, μη εξαιρούμενων νυχτερινών καταναλώσεων</t>
  </si>
  <si>
    <t>ΕΙΔΗ ΤΙΜΟΛΟΓΙΩΝ</t>
  </si>
  <si>
    <t>Εισαγωγή δεδομένων</t>
  </si>
  <si>
    <t>Δεδομένα επιμερισμού βάσει τρέχουσας μεθοδολογίας</t>
  </si>
  <si>
    <t>% Απαιτούμενου Εσόδου</t>
  </si>
  <si>
    <t>static cells</t>
  </si>
  <si>
    <t>Τελικό</t>
  </si>
  <si>
    <t>Επιλογές τελικού σταδίου</t>
  </si>
  <si>
    <t>Στάδιο</t>
  </si>
  <si>
    <t xml:space="preserve">Αγροτικά </t>
  </si>
  <si>
    <t>Απαιτούμενο Έσοδο</t>
  </si>
  <si>
    <t>Ποσοστό Μετάβασης</t>
  </si>
  <si>
    <t>Έτος 1</t>
  </si>
  <si>
    <t>Έτος 2</t>
  </si>
  <si>
    <t>Έτος 3</t>
  </si>
  <si>
    <t>Έτος 4</t>
  </si>
  <si>
    <t>Σταθερή χρέωση (ανά μετρητή)</t>
  </si>
  <si>
    <t>Πάγια χρέωση (βάσει Συμφωνημένης Ισχύος)</t>
  </si>
  <si>
    <t>Πάγια χρέωση (βάσει Μέσου Φορτίου Αιχμής)</t>
  </si>
  <si>
    <t>Μεταβλητή χρέωση (βάσει ενέργειας)</t>
  </si>
  <si>
    <t>Έσοδο (€ / έτος): Σταθερή Χρέωση</t>
  </si>
  <si>
    <t>Έσοδο (€ / έτος): Χρέωση Ενέργειας</t>
  </si>
  <si>
    <t>Έσοδο (€ / έτος): Χρέωση Συμφωνημένης Ισχύος</t>
  </si>
  <si>
    <t>Π-ΜΧΧΔ: Χρέωση Mέσου Φορτίου Αιχμής (€ / kW / έτος)</t>
  </si>
  <si>
    <t>Έσοδο (€ / έτος): Χρέωση Mέσου Φορτίου Αιχμής</t>
  </si>
  <si>
    <t>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</si>
</sst>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
    <numFmt numFmtId="167" formatCode="0.000%"/>
    <numFmt numFmtId="168" formatCode="0.000"/>
    <numFmt numFmtId="169" formatCode="0.0000000"/>
  </numFmts>
  <fonts count="39" x14ac:knownFonts="1">
    <font>
      <sz val="10"/>
      <name val="Arial"/>
      <charset val="161"/>
    </font>
    <font>
      <b/>
      <sz val="10"/>
      <color theme="0"/>
      <name val="Arial"/>
      <family val="2"/>
    </font>
    <font>
      <b/>
      <sz val="10"/>
      <name val="Arial"/>
      <family val="2"/>
    </font>
    <font>
      <sz val="10"/>
      <name val="Arial"/>
      <family val="2"/>
    </font>
    <font>
      <sz val="10"/>
      <color theme="0"/>
      <name val="Arial"/>
      <family val="2"/>
    </font>
    <font>
      <b/>
      <vertAlign val="superscript"/>
      <sz val="10"/>
      <color theme="0"/>
      <name val="Arial"/>
      <family val="2"/>
      <charset val="161"/>
    </font>
    <font>
      <sz val="10"/>
      <name val="Arial"/>
      <family val="2"/>
      <charset val="161"/>
    </font>
    <font>
      <vertAlign val="superscript"/>
      <sz val="10"/>
      <name val="Arial"/>
      <family val="2"/>
      <charset val="161"/>
    </font>
    <font>
      <b/>
      <sz val="8"/>
      <color theme="0"/>
      <name val="Tahoma"/>
      <family val="2"/>
      <charset val="161"/>
    </font>
    <font>
      <b/>
      <sz val="10"/>
      <color theme="0"/>
      <name val="Tahoma"/>
      <family val="2"/>
      <charset val="161"/>
    </font>
    <font>
      <sz val="11"/>
      <color indexed="8"/>
      <name val="Tahoma"/>
      <family val="2"/>
      <charset val="161"/>
    </font>
    <font>
      <sz val="10"/>
      <color indexed="8"/>
      <name val="Tahoma"/>
      <family val="2"/>
      <charset val="161"/>
    </font>
    <font>
      <sz val="11"/>
      <color indexed="8"/>
      <name val="Tahoma"/>
      <family val="2"/>
    </font>
    <font>
      <b/>
      <sz val="11"/>
      <color indexed="8"/>
      <name val="Tahoma"/>
      <family val="2"/>
    </font>
    <font>
      <sz val="11"/>
      <color theme="0"/>
      <name val="Tahoma"/>
      <family val="2"/>
    </font>
    <font>
      <b/>
      <sz val="11"/>
      <color theme="0"/>
      <name val="Tahoma"/>
      <family val="2"/>
    </font>
    <font>
      <i/>
      <sz val="8"/>
      <color theme="7" tint="-0.249977111117893"/>
      <name val="Arial"/>
      <family val="2"/>
    </font>
    <font>
      <sz val="10"/>
      <name val="Tahoma"/>
      <family val="2"/>
      <charset val="161"/>
    </font>
    <font>
      <sz val="11"/>
      <color theme="0"/>
      <name val="Tahoma"/>
      <family val="2"/>
      <charset val="161"/>
    </font>
    <font>
      <sz val="10"/>
      <name val="Calibri"/>
      <family val="2"/>
    </font>
    <font>
      <b/>
      <sz val="10"/>
      <name val="Arial"/>
      <family val="2"/>
      <charset val="161"/>
    </font>
    <font>
      <sz val="9"/>
      <name val="Arial"/>
      <family val="2"/>
    </font>
    <font>
      <sz val="9"/>
      <color theme="0"/>
      <name val="Arial"/>
      <family val="2"/>
    </font>
    <font>
      <b/>
      <sz val="9"/>
      <name val="Arial"/>
      <family val="2"/>
    </font>
    <font>
      <b/>
      <sz val="9"/>
      <color theme="0"/>
      <name val="Arial"/>
      <family val="2"/>
    </font>
    <font>
      <i/>
      <sz val="9"/>
      <name val="Arial"/>
      <family val="2"/>
    </font>
    <font>
      <b/>
      <sz val="11"/>
      <color theme="0"/>
      <name val="Arial"/>
      <family val="2"/>
    </font>
    <font>
      <b/>
      <vertAlign val="superscript"/>
      <sz val="9"/>
      <color theme="0"/>
      <name val="Arial"/>
      <family val="2"/>
    </font>
    <font>
      <vertAlign val="superscript"/>
      <sz val="9"/>
      <name val="Arial"/>
      <family val="2"/>
    </font>
    <font>
      <b/>
      <vertAlign val="superscript"/>
      <sz val="9"/>
      <name val="Arial"/>
      <family val="2"/>
      <charset val="161"/>
    </font>
    <font>
      <u/>
      <sz val="9"/>
      <name val="Arial"/>
      <family val="2"/>
    </font>
    <font>
      <sz val="8"/>
      <name val="Arial"/>
      <family val="2"/>
    </font>
    <font>
      <i/>
      <sz val="10"/>
      <name val="Arial"/>
      <family val="2"/>
    </font>
    <font>
      <b/>
      <sz val="8"/>
      <color theme="0"/>
      <name val="Arial"/>
      <family val="2"/>
    </font>
    <font>
      <b/>
      <sz val="10"/>
      <color theme="3" tint="-0.249977111117893"/>
      <name val="Arial"/>
      <family val="2"/>
    </font>
    <font>
      <sz val="8"/>
      <color theme="0"/>
      <name val="Arial"/>
      <family val="2"/>
    </font>
    <font>
      <b/>
      <sz val="10"/>
      <color theme="3" tint="-0.499984740745262"/>
      <name val="Arial"/>
      <family val="2"/>
    </font>
    <font>
      <b/>
      <sz val="9"/>
      <color theme="3" tint="-0.499984740745262"/>
      <name val="Arial"/>
      <family val="2"/>
    </font>
    <font>
      <sz val="9"/>
      <color indexed="81"/>
      <name val="Tahoma"/>
      <charset val="1"/>
    </font>
  </fonts>
  <fills count="2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F3F9FB"/>
        <bgColor indexed="64"/>
      </patternFill>
    </fill>
    <fill>
      <patternFill patternType="solid">
        <fgColor rgb="FFFEF6F0"/>
        <bgColor indexed="64"/>
      </patternFill>
    </fill>
    <fill>
      <patternFill patternType="solid">
        <fgColor theme="1" tint="0.3499862666707357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indexed="9"/>
        <bgColor indexed="64"/>
      </patternFill>
    </fill>
    <fill>
      <patternFill patternType="solid">
        <fgColor theme="2"/>
        <bgColor indexed="64"/>
      </patternFill>
    </fill>
    <fill>
      <patternFill patternType="solid">
        <fgColor theme="7" tint="0.59999389629810485"/>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C00000"/>
      </left>
      <right style="medium">
        <color rgb="FFC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theme="0" tint="-0.34998626667073579"/>
      </bottom>
      <diagonal/>
    </border>
    <border>
      <left style="medium">
        <color indexed="64"/>
      </left>
      <right/>
      <top style="medium">
        <color indexed="64"/>
      </top>
      <bottom style="hair">
        <color theme="0" tint="-0.34998626667073579"/>
      </bottom>
      <diagonal/>
    </border>
    <border>
      <left/>
      <right/>
      <top style="medium">
        <color indexed="64"/>
      </top>
      <bottom style="hair">
        <color theme="0" tint="-0.34998626667073579"/>
      </bottom>
      <diagonal/>
    </border>
    <border>
      <left style="medium">
        <color rgb="FFC00000"/>
      </left>
      <right style="medium">
        <color rgb="FFC00000"/>
      </right>
      <top style="medium">
        <color indexed="64"/>
      </top>
      <bottom style="hair">
        <color theme="0" tint="-0.34998626667073579"/>
      </bottom>
      <diagonal/>
    </border>
    <border>
      <left/>
      <right style="medium">
        <color indexed="64"/>
      </right>
      <top style="medium">
        <color indexed="64"/>
      </top>
      <bottom style="hair">
        <color theme="0" tint="-0.34998626667073579"/>
      </bottom>
      <diagonal/>
    </border>
    <border>
      <left style="medium">
        <color indexed="64"/>
      </left>
      <right style="medium">
        <color indexed="64"/>
      </right>
      <top/>
      <bottom style="hair">
        <color theme="0" tint="-0.34998626667073579"/>
      </bottom>
      <diagonal/>
    </border>
    <border>
      <left style="medium">
        <color indexed="64"/>
      </left>
      <right/>
      <top/>
      <bottom style="hair">
        <color theme="0" tint="-0.34998626667073579"/>
      </bottom>
      <diagonal/>
    </border>
    <border>
      <left/>
      <right/>
      <top style="hair">
        <color theme="0" tint="-0.34998626667073579"/>
      </top>
      <bottom style="hair">
        <color theme="0" tint="-0.34998626667073579"/>
      </bottom>
      <diagonal/>
    </border>
    <border>
      <left style="medium">
        <color rgb="FFC00000"/>
      </left>
      <right style="medium">
        <color rgb="FFC00000"/>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medium">
        <color indexed="64"/>
      </right>
      <top/>
      <bottom/>
      <diagonal/>
    </border>
    <border>
      <left style="medium">
        <color indexed="64"/>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hair">
        <color theme="0" tint="-0.34998626667073579"/>
      </bottom>
      <diagonal/>
    </border>
    <border>
      <left style="medium">
        <color indexed="64"/>
      </left>
      <right style="medium">
        <color indexed="64"/>
      </right>
      <top style="hair">
        <color theme="0" tint="-0.34998626667073579"/>
      </top>
      <bottom style="medium">
        <color indexed="64"/>
      </bottom>
      <diagonal/>
    </border>
    <border>
      <left style="medium">
        <color indexed="64"/>
      </left>
      <right/>
      <top style="hair">
        <color theme="0" tint="-0.34998626667073579"/>
      </top>
      <bottom style="medium">
        <color indexed="64"/>
      </bottom>
      <diagonal/>
    </border>
    <border>
      <left/>
      <right/>
      <top style="hair">
        <color theme="0" tint="-0.34998626667073579"/>
      </top>
      <bottom style="medium">
        <color indexed="64"/>
      </bottom>
      <diagonal/>
    </border>
    <border>
      <left style="medium">
        <color rgb="FFC00000"/>
      </left>
      <right style="medium">
        <color rgb="FFC00000"/>
      </right>
      <top style="hair">
        <color theme="0" tint="-0.34998626667073579"/>
      </top>
      <bottom style="medium">
        <color indexed="64"/>
      </bottom>
      <diagonal/>
    </border>
    <border>
      <left/>
      <right style="medium">
        <color indexed="64"/>
      </right>
      <top style="hair">
        <color theme="0" tint="-0.34998626667073579"/>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right style="thin">
        <color indexed="64"/>
      </right>
      <top style="double">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medium">
        <color indexed="64"/>
      </top>
      <bottom style="thin">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s>
  <cellStyleXfs count="3">
    <xf numFmtId="0" fontId="0" fillId="0" borderId="0"/>
    <xf numFmtId="9" fontId="3" fillId="0" borderId="0" applyFont="0" applyFill="0" applyBorder="0" applyAlignment="0" applyProtection="0"/>
    <xf numFmtId="0" fontId="6" fillId="0" borderId="0"/>
  </cellStyleXfs>
  <cellXfs count="582">
    <xf numFmtId="0" fontId="0" fillId="0" borderId="0" xfId="0"/>
    <xf numFmtId="0" fontId="0" fillId="2" borderId="0" xfId="0" applyFill="1"/>
    <xf numFmtId="0" fontId="1" fillId="3" borderId="0" xfId="0" applyFont="1" applyFill="1" applyAlignment="1">
      <alignment horizontal="center" vertical="center" wrapText="1"/>
    </xf>
    <xf numFmtId="0" fontId="0" fillId="2" borderId="0" xfId="0" applyFill="1" applyAlignment="1">
      <alignment horizontal="center" vertical="center"/>
    </xf>
    <xf numFmtId="0" fontId="2" fillId="2" borderId="1" xfId="0" applyFont="1" applyFill="1" applyBorder="1" applyAlignment="1">
      <alignment horizontal="center" vertical="center"/>
    </xf>
    <xf numFmtId="0" fontId="1" fillId="4"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7" xfId="0" applyFont="1" applyFill="1" applyBorder="1" applyAlignment="1">
      <alignment vertical="center"/>
    </xf>
    <xf numFmtId="0" fontId="3" fillId="5"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0" xfId="0" applyAlignment="1">
      <alignment horizontal="center" vertical="center" wrapText="1"/>
    </xf>
    <xf numFmtId="0" fontId="3" fillId="2" borderId="12" xfId="0" applyFont="1" applyFill="1" applyBorder="1" applyAlignment="1">
      <alignment vertical="center"/>
    </xf>
    <xf numFmtId="164" fontId="3" fillId="5" borderId="13" xfId="0" applyNumberFormat="1" applyFont="1" applyFill="1" applyBorder="1" applyAlignment="1">
      <alignment horizontal="center" vertical="center" wrapText="1"/>
    </xf>
    <xf numFmtId="9" fontId="3" fillId="6" borderId="14" xfId="1" applyFont="1" applyFill="1" applyBorder="1" applyAlignment="1">
      <alignment horizontal="center" vertical="center" wrapText="1"/>
    </xf>
    <xf numFmtId="9" fontId="3" fillId="6" borderId="15" xfId="1" applyFont="1" applyFill="1" applyBorder="1" applyAlignment="1">
      <alignment horizontal="center" vertical="center" wrapText="1"/>
    </xf>
    <xf numFmtId="9" fontId="3" fillId="7" borderId="14" xfId="1" applyFont="1" applyFill="1" applyBorder="1" applyAlignment="1">
      <alignment horizontal="center" vertical="center" wrapText="1"/>
    </xf>
    <xf numFmtId="9" fontId="4" fillId="8" borderId="14" xfId="1" applyFont="1" applyFill="1" applyBorder="1" applyAlignment="1">
      <alignment horizontal="center" vertical="center" wrapText="1"/>
    </xf>
    <xf numFmtId="9" fontId="4" fillId="8" borderId="16" xfId="1" applyFont="1" applyFill="1" applyBorder="1" applyAlignment="1">
      <alignment horizontal="center" vertical="center" wrapText="1"/>
    </xf>
    <xf numFmtId="9" fontId="3" fillId="2" borderId="14" xfId="1" applyFont="1" applyFill="1" applyBorder="1" applyAlignment="1">
      <alignment horizontal="center" vertical="center" wrapText="1"/>
    </xf>
    <xf numFmtId="9" fontId="3" fillId="2" borderId="16" xfId="1" applyFont="1" applyFill="1" applyBorder="1" applyAlignment="1">
      <alignment horizontal="center" vertical="center" wrapText="1"/>
    </xf>
    <xf numFmtId="0" fontId="3" fillId="2" borderId="18" xfId="0" applyFont="1" applyFill="1" applyBorder="1" applyAlignment="1">
      <alignment vertical="center"/>
    </xf>
    <xf numFmtId="9" fontId="3" fillId="5" borderId="19" xfId="1" applyFont="1" applyFill="1" applyBorder="1" applyAlignment="1">
      <alignment horizontal="center" vertical="center" wrapText="1"/>
    </xf>
    <xf numFmtId="9" fontId="3" fillId="2" borderId="15" xfId="1" applyFont="1" applyFill="1" applyBorder="1" applyAlignment="1">
      <alignment horizontal="center" vertical="center" wrapText="1"/>
    </xf>
    <xf numFmtId="9" fontId="3" fillId="9" borderId="15" xfId="1" applyFont="1" applyFill="1" applyBorder="1" applyAlignment="1">
      <alignment horizontal="center" vertical="center" wrapText="1"/>
    </xf>
    <xf numFmtId="9" fontId="3" fillId="9" borderId="14" xfId="1" applyFont="1" applyFill="1" applyBorder="1" applyAlignment="1">
      <alignment horizontal="center" vertical="center" wrapText="1"/>
    </xf>
    <xf numFmtId="9" fontId="3" fillId="9" borderId="16" xfId="1" applyFont="1" applyFill="1" applyBorder="1" applyAlignment="1">
      <alignment horizontal="center" vertical="center" wrapText="1"/>
    </xf>
    <xf numFmtId="0" fontId="3" fillId="2" borderId="20" xfId="0" applyFont="1" applyFill="1" applyBorder="1" applyAlignment="1">
      <alignment wrapText="1"/>
    </xf>
    <xf numFmtId="0" fontId="3" fillId="5" borderId="21" xfId="0" applyFont="1" applyFill="1" applyBorder="1" applyAlignment="1">
      <alignment horizontal="center" vertical="center" wrapText="1"/>
    </xf>
    <xf numFmtId="9" fontId="3" fillId="2" borderId="22" xfId="0" applyNumberFormat="1" applyFont="1" applyFill="1" applyBorder="1" applyAlignment="1">
      <alignment horizontal="center" vertical="center"/>
    </xf>
    <xf numFmtId="9" fontId="3" fillId="2" borderId="23" xfId="0" applyNumberFormat="1" applyFont="1" applyFill="1" applyBorder="1" applyAlignment="1">
      <alignment horizontal="center" vertical="center"/>
    </xf>
    <xf numFmtId="9" fontId="3" fillId="2" borderId="24" xfId="0" applyNumberFormat="1" applyFont="1" applyFill="1" applyBorder="1" applyAlignment="1">
      <alignment horizontal="center" vertical="center"/>
    </xf>
    <xf numFmtId="0" fontId="3" fillId="2" borderId="0" xfId="0" applyFont="1" applyFill="1" applyAlignment="1">
      <alignment horizontal="center" vertical="center" wrapText="1"/>
    </xf>
    <xf numFmtId="0" fontId="1" fillId="10" borderId="2"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5" xfId="0" applyFont="1" applyFill="1" applyBorder="1" applyAlignment="1">
      <alignment horizontal="center" vertical="center" wrapText="1"/>
    </xf>
    <xf numFmtId="3" fontId="3" fillId="11" borderId="7" xfId="0" applyNumberFormat="1" applyFont="1" applyFill="1" applyBorder="1"/>
    <xf numFmtId="3" fontId="0" fillId="5" borderId="8" xfId="0" applyNumberFormat="1" applyFill="1" applyBorder="1"/>
    <xf numFmtId="3" fontId="0" fillId="2" borderId="9" xfId="0" applyNumberFormat="1" applyFill="1" applyBorder="1"/>
    <xf numFmtId="3" fontId="0" fillId="2" borderId="10" xfId="0" applyNumberFormat="1" applyFill="1" applyBorder="1"/>
    <xf numFmtId="3" fontId="0" fillId="2" borderId="11" xfId="0" applyNumberFormat="1" applyFill="1" applyBorder="1"/>
    <xf numFmtId="3" fontId="0" fillId="0" borderId="0" xfId="0" applyNumberFormat="1"/>
    <xf numFmtId="0" fontId="3" fillId="11" borderId="18" xfId="0" applyFont="1" applyFill="1" applyBorder="1"/>
    <xf numFmtId="3" fontId="0" fillId="5" borderId="19" xfId="0" applyNumberFormat="1" applyFill="1" applyBorder="1"/>
    <xf numFmtId="3" fontId="0" fillId="2" borderId="14" xfId="0" applyNumberFormat="1" applyFill="1" applyBorder="1"/>
    <xf numFmtId="3" fontId="0" fillId="2" borderId="15" xfId="0" applyNumberFormat="1" applyFill="1" applyBorder="1"/>
    <xf numFmtId="3" fontId="0" fillId="2" borderId="16" xfId="0" applyNumberFormat="1" applyFill="1" applyBorder="1"/>
    <xf numFmtId="0" fontId="3" fillId="12" borderId="18" xfId="0" applyFont="1" applyFill="1" applyBorder="1"/>
    <xf numFmtId="0" fontId="3" fillId="12" borderId="20" xfId="0" applyFont="1" applyFill="1" applyBorder="1"/>
    <xf numFmtId="3" fontId="0" fillId="5" borderId="21" xfId="0" applyNumberFormat="1" applyFill="1" applyBorder="1"/>
    <xf numFmtId="3" fontId="0" fillId="2" borderId="22" xfId="0" applyNumberFormat="1" applyFill="1" applyBorder="1"/>
    <xf numFmtId="3" fontId="0" fillId="2" borderId="23" xfId="0" applyNumberFormat="1" applyFill="1" applyBorder="1"/>
    <xf numFmtId="3" fontId="0" fillId="2" borderId="24" xfId="0" applyNumberFormat="1" applyFill="1" applyBorder="1"/>
    <xf numFmtId="3" fontId="0" fillId="2" borderId="0" xfId="0" applyNumberFormat="1" applyFill="1"/>
    <xf numFmtId="165" fontId="0" fillId="2" borderId="0" xfId="0" applyNumberFormat="1" applyFill="1"/>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5" xfId="0" applyFont="1" applyFill="1" applyBorder="1" applyAlignment="1">
      <alignment horizontal="center" vertical="center"/>
    </xf>
    <xf numFmtId="164" fontId="0" fillId="5" borderId="8" xfId="1" applyNumberFormat="1" applyFont="1" applyFill="1" applyBorder="1"/>
    <xf numFmtId="164" fontId="0" fillId="2" borderId="9" xfId="1" applyNumberFormat="1" applyFont="1" applyFill="1" applyBorder="1"/>
    <xf numFmtId="164" fontId="0" fillId="2" borderId="10" xfId="1" applyNumberFormat="1" applyFont="1" applyFill="1" applyBorder="1"/>
    <xf numFmtId="164" fontId="0" fillId="2" borderId="11" xfId="1" applyNumberFormat="1" applyFont="1" applyFill="1" applyBorder="1"/>
    <xf numFmtId="164" fontId="0" fillId="5" borderId="19" xfId="1" applyNumberFormat="1" applyFont="1" applyFill="1" applyBorder="1"/>
    <xf numFmtId="164" fontId="0" fillId="2" borderId="14" xfId="1" applyNumberFormat="1" applyFont="1" applyFill="1" applyBorder="1"/>
    <xf numFmtId="164" fontId="0" fillId="2" borderId="15" xfId="1" applyNumberFormat="1" applyFont="1" applyFill="1" applyBorder="1"/>
    <xf numFmtId="164" fontId="0" fillId="2" borderId="16" xfId="1" applyNumberFormat="1" applyFont="1" applyFill="1" applyBorder="1"/>
    <xf numFmtId="0" fontId="3" fillId="11" borderId="20" xfId="0" applyFont="1" applyFill="1" applyBorder="1"/>
    <xf numFmtId="164" fontId="0" fillId="5" borderId="21" xfId="1" applyNumberFormat="1" applyFont="1" applyFill="1" applyBorder="1"/>
    <xf numFmtId="164" fontId="0" fillId="2" borderId="22" xfId="1" applyNumberFormat="1" applyFont="1" applyFill="1" applyBorder="1"/>
    <xf numFmtId="164" fontId="0" fillId="2" borderId="23" xfId="1" applyNumberFormat="1" applyFont="1" applyFill="1" applyBorder="1"/>
    <xf numFmtId="164" fontId="3" fillId="2" borderId="22" xfId="1" applyNumberFormat="1" applyFont="1" applyFill="1" applyBorder="1"/>
    <xf numFmtId="164" fontId="3" fillId="2" borderId="24" xfId="1" applyNumberFormat="1" applyFont="1" applyFill="1" applyBorder="1"/>
    <xf numFmtId="4" fontId="0" fillId="5" borderId="8" xfId="0" applyNumberFormat="1" applyFill="1" applyBorder="1"/>
    <xf numFmtId="4" fontId="0" fillId="2" borderId="9" xfId="0" applyNumberFormat="1" applyFill="1" applyBorder="1"/>
    <xf numFmtId="4" fontId="0" fillId="2" borderId="10" xfId="0" applyNumberFormat="1" applyFill="1" applyBorder="1"/>
    <xf numFmtId="4" fontId="0" fillId="2" borderId="11" xfId="0" applyNumberFormat="1" applyFill="1" applyBorder="1"/>
    <xf numFmtId="4" fontId="0" fillId="5" borderId="19" xfId="0" applyNumberFormat="1" applyFill="1" applyBorder="1"/>
    <xf numFmtId="4" fontId="0" fillId="2" borderId="14" xfId="0" applyNumberFormat="1" applyFill="1" applyBorder="1"/>
    <xf numFmtId="4" fontId="0" fillId="2" borderId="15" xfId="0" applyNumberFormat="1" applyFill="1" applyBorder="1"/>
    <xf numFmtId="4" fontId="0" fillId="2" borderId="16" xfId="0" applyNumberFormat="1" applyFill="1" applyBorder="1"/>
    <xf numFmtId="4" fontId="0" fillId="5" borderId="21" xfId="0" applyNumberFormat="1" applyFill="1" applyBorder="1"/>
    <xf numFmtId="4" fontId="0" fillId="2" borderId="22" xfId="0" applyNumberFormat="1" applyFill="1" applyBorder="1"/>
    <xf numFmtId="4" fontId="0" fillId="2" borderId="23" xfId="0" applyNumberFormat="1" applyFill="1" applyBorder="1"/>
    <xf numFmtId="4" fontId="0" fillId="2" borderId="24" xfId="0" applyNumberFormat="1" applyFill="1" applyBorder="1"/>
    <xf numFmtId="0" fontId="3" fillId="2" borderId="0" xfId="0" applyFont="1" applyFill="1"/>
    <xf numFmtId="166" fontId="0" fillId="2" borderId="8" xfId="0" applyNumberFormat="1" applyFill="1" applyBorder="1"/>
    <xf numFmtId="4" fontId="3" fillId="2" borderId="10" xfId="1" applyNumberFormat="1" applyFont="1" applyFill="1" applyBorder="1" applyAlignment="1">
      <alignment horizontal="right"/>
    </xf>
    <xf numFmtId="4" fontId="3" fillId="2" borderId="9" xfId="1" applyNumberFormat="1" applyFont="1" applyFill="1" applyBorder="1" applyAlignment="1">
      <alignment horizontal="right"/>
    </xf>
    <xf numFmtId="4" fontId="3" fillId="2" borderId="11" xfId="1" applyNumberFormat="1" applyFont="1" applyFill="1" applyBorder="1" applyAlignment="1">
      <alignment horizontal="right"/>
    </xf>
    <xf numFmtId="166" fontId="0" fillId="2" borderId="19" xfId="0" applyNumberFormat="1" applyFill="1" applyBorder="1"/>
    <xf numFmtId="4" fontId="3" fillId="2" borderId="15" xfId="1" applyNumberFormat="1" applyFont="1" applyFill="1" applyBorder="1" applyAlignment="1">
      <alignment horizontal="right"/>
    </xf>
    <xf numFmtId="4" fontId="3" fillId="2" borderId="14" xfId="1" applyNumberFormat="1" applyFont="1" applyFill="1" applyBorder="1" applyAlignment="1">
      <alignment horizontal="right"/>
    </xf>
    <xf numFmtId="4" fontId="3" fillId="2" borderId="16" xfId="1" applyNumberFormat="1" applyFont="1" applyFill="1" applyBorder="1" applyAlignment="1">
      <alignment horizontal="right"/>
    </xf>
    <xf numFmtId="10" fontId="0" fillId="0" borderId="0" xfId="0" applyNumberFormat="1"/>
    <xf numFmtId="166" fontId="0" fillId="2" borderId="21" xfId="0" applyNumberFormat="1" applyFill="1" applyBorder="1"/>
    <xf numFmtId="4" fontId="3" fillId="2" borderId="23" xfId="1" applyNumberFormat="1" applyFont="1" applyFill="1" applyBorder="1" applyAlignment="1">
      <alignment horizontal="right"/>
    </xf>
    <xf numFmtId="4" fontId="3" fillId="2" borderId="22" xfId="1" applyNumberFormat="1" applyFont="1" applyFill="1" applyBorder="1" applyAlignment="1">
      <alignment horizontal="right"/>
    </xf>
    <xf numFmtId="4" fontId="3" fillId="2" borderId="24" xfId="1" applyNumberFormat="1" applyFont="1" applyFill="1" applyBorder="1" applyAlignment="1">
      <alignment horizontal="right"/>
    </xf>
    <xf numFmtId="10" fontId="3" fillId="2" borderId="9" xfId="1" applyNumberFormat="1" applyFont="1" applyFill="1" applyBorder="1" applyAlignment="1">
      <alignment horizontal="right"/>
    </xf>
    <xf numFmtId="10" fontId="3" fillId="2" borderId="10" xfId="1" applyNumberFormat="1" applyFont="1" applyFill="1" applyBorder="1" applyAlignment="1">
      <alignment horizontal="right"/>
    </xf>
    <xf numFmtId="10" fontId="3" fillId="2" borderId="11" xfId="1" applyNumberFormat="1" applyFont="1" applyFill="1" applyBorder="1" applyAlignment="1">
      <alignment horizontal="right"/>
    </xf>
    <xf numFmtId="10" fontId="3" fillId="2" borderId="14" xfId="1" applyNumberFormat="1" applyFont="1" applyFill="1" applyBorder="1" applyAlignment="1">
      <alignment horizontal="right"/>
    </xf>
    <xf numFmtId="10" fontId="3" fillId="2" borderId="15" xfId="1" applyNumberFormat="1" applyFont="1" applyFill="1" applyBorder="1" applyAlignment="1">
      <alignment horizontal="right"/>
    </xf>
    <xf numFmtId="10" fontId="3" fillId="2" borderId="16" xfId="1" applyNumberFormat="1" applyFont="1" applyFill="1" applyBorder="1" applyAlignment="1">
      <alignment horizontal="right"/>
    </xf>
    <xf numFmtId="10" fontId="3" fillId="2" borderId="22" xfId="1" applyNumberFormat="1" applyFont="1" applyFill="1" applyBorder="1" applyAlignment="1">
      <alignment horizontal="right"/>
    </xf>
    <xf numFmtId="10" fontId="3" fillId="2" borderId="23" xfId="1" applyNumberFormat="1" applyFont="1" applyFill="1" applyBorder="1" applyAlignment="1">
      <alignment horizontal="right"/>
    </xf>
    <xf numFmtId="10" fontId="3" fillId="2" borderId="24" xfId="1" applyNumberFormat="1" applyFont="1" applyFill="1" applyBorder="1" applyAlignment="1">
      <alignment horizontal="right"/>
    </xf>
    <xf numFmtId="10" fontId="0" fillId="2" borderId="0" xfId="1" applyNumberFormat="1" applyFont="1" applyFill="1"/>
    <xf numFmtId="2" fontId="0" fillId="2" borderId="0" xfId="1" applyNumberFormat="1" applyFont="1" applyFill="1"/>
    <xf numFmtId="0" fontId="1" fillId="10" borderId="2" xfId="0" applyFont="1" applyFill="1" applyBorder="1" applyAlignment="1">
      <alignment horizontal="center"/>
    </xf>
    <xf numFmtId="0" fontId="1" fillId="10" borderId="3" xfId="0" applyFont="1" applyFill="1" applyBorder="1" applyAlignment="1">
      <alignment horizontal="center"/>
    </xf>
    <xf numFmtId="0" fontId="1" fillId="10" borderId="5" xfId="0" applyFont="1" applyFill="1" applyBorder="1" applyAlignment="1">
      <alignment horizontal="center"/>
    </xf>
    <xf numFmtId="165" fontId="0" fillId="5" borderId="8" xfId="0" applyNumberFormat="1" applyFill="1" applyBorder="1"/>
    <xf numFmtId="165" fontId="0" fillId="2" borderId="9" xfId="0" applyNumberFormat="1" applyFill="1" applyBorder="1"/>
    <xf numFmtId="165" fontId="0" fillId="2" borderId="10" xfId="0" applyNumberFormat="1" applyFill="1" applyBorder="1"/>
    <xf numFmtId="165" fontId="0" fillId="2" borderId="11" xfId="0" applyNumberFormat="1" applyFill="1" applyBorder="1"/>
    <xf numFmtId="165" fontId="0" fillId="5" borderId="19" xfId="0" applyNumberFormat="1" applyFill="1" applyBorder="1"/>
    <xf numFmtId="165" fontId="0" fillId="2" borderId="14" xfId="0" applyNumberFormat="1" applyFill="1" applyBorder="1"/>
    <xf numFmtId="165" fontId="0" fillId="2" borderId="15" xfId="0" applyNumberFormat="1" applyFill="1" applyBorder="1"/>
    <xf numFmtId="165" fontId="0" fillId="2" borderId="16" xfId="0" applyNumberFormat="1" applyFill="1" applyBorder="1"/>
    <xf numFmtId="165" fontId="0" fillId="5" borderId="21" xfId="0" applyNumberFormat="1" applyFill="1" applyBorder="1"/>
    <xf numFmtId="165" fontId="0" fillId="2" borderId="22" xfId="0" applyNumberFormat="1" applyFill="1" applyBorder="1"/>
    <xf numFmtId="165" fontId="0" fillId="2" borderId="23" xfId="0" applyNumberFormat="1" applyFill="1" applyBorder="1"/>
    <xf numFmtId="165" fontId="0" fillId="2" borderId="24" xfId="0" applyNumberFormat="1" applyFill="1" applyBorder="1"/>
    <xf numFmtId="0" fontId="6" fillId="2" borderId="0" xfId="0" applyFont="1" applyFill="1" applyAlignment="1">
      <alignment horizontal="left" vertical="top" wrapText="1"/>
    </xf>
    <xf numFmtId="0" fontId="0" fillId="0" borderId="0" xfId="0" applyAlignment="1">
      <alignment horizontal="center" vertical="center"/>
    </xf>
    <xf numFmtId="3" fontId="8" fillId="13" borderId="28" xfId="2" applyNumberFormat="1" applyFont="1" applyFill="1" applyBorder="1" applyAlignment="1">
      <alignment vertical="center"/>
    </xf>
    <xf numFmtId="3" fontId="8" fillId="13" borderId="29" xfId="2" applyNumberFormat="1" applyFont="1" applyFill="1" applyBorder="1" applyAlignment="1">
      <alignment vertical="center"/>
    </xf>
    <xf numFmtId="0" fontId="9" fillId="13" borderId="30" xfId="2" applyFont="1" applyFill="1" applyBorder="1" applyAlignment="1">
      <alignment vertical="center"/>
    </xf>
    <xf numFmtId="3" fontId="10" fillId="14" borderId="31" xfId="2" applyNumberFormat="1" applyFont="1" applyFill="1" applyBorder="1" applyAlignment="1">
      <alignment horizontal="center" vertical="center" wrapText="1"/>
    </xf>
    <xf numFmtId="3" fontId="10" fillId="14" borderId="32" xfId="2" applyNumberFormat="1" applyFont="1" applyFill="1" applyBorder="1" applyAlignment="1">
      <alignment horizontal="center" vertical="center" wrapText="1"/>
    </xf>
    <xf numFmtId="3" fontId="10" fillId="14" borderId="33" xfId="2" applyNumberFormat="1" applyFont="1" applyFill="1" applyBorder="1" applyAlignment="1">
      <alignment horizontal="center" vertical="center" wrapText="1"/>
    </xf>
    <xf numFmtId="3" fontId="10" fillId="15" borderId="31" xfId="2" applyNumberFormat="1" applyFont="1" applyFill="1" applyBorder="1" applyAlignment="1">
      <alignment horizontal="center" vertical="center" wrapText="1"/>
    </xf>
    <xf numFmtId="3" fontId="10" fillId="15" borderId="32" xfId="2" applyNumberFormat="1" applyFont="1" applyFill="1" applyBorder="1" applyAlignment="1">
      <alignment horizontal="center" vertical="center" wrapText="1"/>
    </xf>
    <xf numFmtId="3" fontId="10" fillId="15" borderId="33" xfId="2" applyNumberFormat="1" applyFont="1" applyFill="1" applyBorder="1" applyAlignment="1">
      <alignment horizontal="center" vertical="center" wrapText="1"/>
    </xf>
    <xf numFmtId="0" fontId="11" fillId="0" borderId="34" xfId="2" applyFont="1" applyBorder="1" applyAlignment="1">
      <alignment vertical="center" wrapText="1"/>
    </xf>
    <xf numFmtId="3" fontId="10" fillId="14" borderId="35" xfId="2" applyNumberFormat="1" applyFont="1" applyFill="1" applyBorder="1" applyAlignment="1">
      <alignment horizontal="center" vertical="center" wrapText="1"/>
    </xf>
    <xf numFmtId="3" fontId="10" fillId="14" borderId="0" xfId="2" applyNumberFormat="1" applyFont="1" applyFill="1" applyAlignment="1">
      <alignment horizontal="center" vertical="center" wrapText="1"/>
    </xf>
    <xf numFmtId="3" fontId="10" fillId="14" borderId="36" xfId="2" applyNumberFormat="1" applyFont="1" applyFill="1" applyBorder="1" applyAlignment="1">
      <alignment horizontal="center" vertical="center" wrapText="1"/>
    </xf>
    <xf numFmtId="3" fontId="10" fillId="15" borderId="35" xfId="2" applyNumberFormat="1" applyFont="1" applyFill="1" applyBorder="1" applyAlignment="1">
      <alignment horizontal="center" vertical="center" wrapText="1"/>
    </xf>
    <xf numFmtId="3" fontId="10" fillId="15" borderId="0" xfId="2" applyNumberFormat="1" applyFont="1" applyFill="1" applyAlignment="1">
      <alignment horizontal="center" vertical="center" wrapText="1"/>
    </xf>
    <xf numFmtId="3" fontId="10" fillId="15" borderId="36" xfId="2" applyNumberFormat="1" applyFont="1" applyFill="1" applyBorder="1" applyAlignment="1">
      <alignment horizontal="center" vertical="center" wrapText="1"/>
    </xf>
    <xf numFmtId="3" fontId="10" fillId="14" borderId="37" xfId="2" applyNumberFormat="1" applyFont="1" applyFill="1" applyBorder="1" applyAlignment="1">
      <alignment horizontal="center" vertical="center" wrapText="1"/>
    </xf>
    <xf numFmtId="3" fontId="10" fillId="14" borderId="38" xfId="2" applyNumberFormat="1" applyFont="1" applyFill="1" applyBorder="1" applyAlignment="1">
      <alignment horizontal="center" vertical="center" wrapText="1"/>
    </xf>
    <xf numFmtId="3" fontId="12" fillId="14" borderId="39" xfId="2" applyNumberFormat="1" applyFont="1" applyFill="1" applyBorder="1" applyAlignment="1">
      <alignment horizontal="center" vertical="center" wrapText="1"/>
    </xf>
    <xf numFmtId="3" fontId="10" fillId="15" borderId="37" xfId="2" applyNumberFormat="1" applyFont="1" applyFill="1" applyBorder="1" applyAlignment="1">
      <alignment horizontal="center" vertical="center" wrapText="1"/>
    </xf>
    <xf numFmtId="3" fontId="10" fillId="15" borderId="38" xfId="2" applyNumberFormat="1" applyFont="1" applyFill="1" applyBorder="1" applyAlignment="1">
      <alignment horizontal="center" vertical="center" wrapText="1"/>
    </xf>
    <xf numFmtId="3" fontId="12" fillId="15" borderId="39" xfId="2" applyNumberFormat="1" applyFont="1" applyFill="1" applyBorder="1" applyAlignment="1">
      <alignment horizontal="center" vertical="center" wrapText="1"/>
    </xf>
    <xf numFmtId="3" fontId="8" fillId="13" borderId="40" xfId="2" applyNumberFormat="1" applyFont="1" applyFill="1" applyBorder="1" applyAlignment="1">
      <alignment vertical="center"/>
    </xf>
    <xf numFmtId="3" fontId="8" fillId="13" borderId="41" xfId="2" applyNumberFormat="1" applyFont="1" applyFill="1" applyBorder="1" applyAlignment="1">
      <alignment vertical="center"/>
    </xf>
    <xf numFmtId="3" fontId="10" fillId="16" borderId="31" xfId="2" applyNumberFormat="1" applyFont="1" applyFill="1" applyBorder="1" applyAlignment="1">
      <alignment horizontal="center" vertical="center" wrapText="1"/>
    </xf>
    <xf numFmtId="3" fontId="10" fillId="16" borderId="32" xfId="2" applyNumberFormat="1" applyFont="1" applyFill="1" applyBorder="1" applyAlignment="1">
      <alignment horizontal="center" vertical="center" wrapText="1"/>
    </xf>
    <xf numFmtId="3" fontId="10" fillId="16" borderId="33" xfId="2" applyNumberFormat="1" applyFont="1" applyFill="1" applyBorder="1" applyAlignment="1">
      <alignment horizontal="center" vertical="center" wrapText="1"/>
    </xf>
    <xf numFmtId="3" fontId="10" fillId="16" borderId="35" xfId="2" applyNumberFormat="1" applyFont="1" applyFill="1" applyBorder="1" applyAlignment="1">
      <alignment horizontal="center" vertical="center" wrapText="1"/>
    </xf>
    <xf numFmtId="3" fontId="10" fillId="16" borderId="0" xfId="2" applyNumberFormat="1" applyFont="1" applyFill="1" applyAlignment="1">
      <alignment horizontal="center" vertical="center" wrapText="1"/>
    </xf>
    <xf numFmtId="3" fontId="10" fillId="16" borderId="36" xfId="2" applyNumberFormat="1" applyFont="1" applyFill="1" applyBorder="1" applyAlignment="1">
      <alignment horizontal="center" vertical="center" wrapText="1"/>
    </xf>
    <xf numFmtId="3" fontId="10" fillId="16" borderId="37" xfId="2" applyNumberFormat="1" applyFont="1" applyFill="1" applyBorder="1" applyAlignment="1">
      <alignment horizontal="center" vertical="center" wrapText="1"/>
    </xf>
    <xf numFmtId="3" fontId="10" fillId="16" borderId="38" xfId="2" applyNumberFormat="1" applyFont="1" applyFill="1" applyBorder="1" applyAlignment="1">
      <alignment horizontal="center" vertical="center" wrapText="1"/>
    </xf>
    <xf numFmtId="3" fontId="12" fillId="16" borderId="39" xfId="2" applyNumberFormat="1" applyFont="1" applyFill="1" applyBorder="1" applyAlignment="1">
      <alignment horizontal="center" vertical="center" wrapText="1"/>
    </xf>
    <xf numFmtId="9" fontId="0" fillId="0" borderId="0" xfId="0" applyNumberFormat="1"/>
    <xf numFmtId="3" fontId="10" fillId="17" borderId="31" xfId="2" applyNumberFormat="1" applyFont="1" applyFill="1" applyBorder="1" applyAlignment="1">
      <alignment horizontal="center" vertical="center" wrapText="1"/>
    </xf>
    <xf numFmtId="3" fontId="10" fillId="17" borderId="32" xfId="2" applyNumberFormat="1" applyFont="1" applyFill="1" applyBorder="1" applyAlignment="1">
      <alignment horizontal="center" vertical="center" wrapText="1"/>
    </xf>
    <xf numFmtId="3" fontId="10" fillId="17" borderId="33" xfId="2" applyNumberFormat="1" applyFont="1" applyFill="1" applyBorder="1" applyAlignment="1">
      <alignment horizontal="center" vertical="center" wrapText="1"/>
    </xf>
    <xf numFmtId="3" fontId="14" fillId="18" borderId="31" xfId="2" applyNumberFormat="1" applyFont="1" applyFill="1" applyBorder="1" applyAlignment="1">
      <alignment horizontal="center" vertical="center" wrapText="1"/>
    </xf>
    <xf numFmtId="3" fontId="14" fillId="18" borderId="32" xfId="2" applyNumberFormat="1" applyFont="1" applyFill="1" applyBorder="1" applyAlignment="1">
      <alignment horizontal="center" vertical="center" wrapText="1"/>
    </xf>
    <xf numFmtId="3" fontId="14" fillId="18" borderId="33" xfId="2" applyNumberFormat="1" applyFont="1" applyFill="1" applyBorder="1" applyAlignment="1">
      <alignment horizontal="center" vertical="center" wrapText="1"/>
    </xf>
    <xf numFmtId="3" fontId="10" fillId="17" borderId="35" xfId="2" applyNumberFormat="1" applyFont="1" applyFill="1" applyBorder="1" applyAlignment="1">
      <alignment horizontal="center" vertical="center" wrapText="1"/>
    </xf>
    <xf numFmtId="3" fontId="10" fillId="17" borderId="0" xfId="2" applyNumberFormat="1" applyFont="1" applyFill="1" applyAlignment="1">
      <alignment horizontal="center" vertical="center" wrapText="1"/>
    </xf>
    <xf numFmtId="3" fontId="10" fillId="17" borderId="36" xfId="2" applyNumberFormat="1" applyFont="1" applyFill="1" applyBorder="1" applyAlignment="1">
      <alignment horizontal="center" vertical="center" wrapText="1"/>
    </xf>
    <xf numFmtId="3" fontId="14" fillId="18" borderId="35" xfId="2" applyNumberFormat="1" applyFont="1" applyFill="1" applyBorder="1" applyAlignment="1">
      <alignment horizontal="center" vertical="center" wrapText="1"/>
    </xf>
    <xf numFmtId="3" fontId="14" fillId="18" borderId="0" xfId="2" applyNumberFormat="1" applyFont="1" applyFill="1" applyAlignment="1">
      <alignment horizontal="center" vertical="center" wrapText="1"/>
    </xf>
    <xf numFmtId="3" fontId="14" fillId="18" borderId="36" xfId="2" applyNumberFormat="1" applyFont="1" applyFill="1" applyBorder="1" applyAlignment="1">
      <alignment horizontal="center" vertical="center" wrapText="1"/>
    </xf>
    <xf numFmtId="3" fontId="10" fillId="17" borderId="37" xfId="2" applyNumberFormat="1" applyFont="1" applyFill="1" applyBorder="1" applyAlignment="1">
      <alignment horizontal="center" vertical="center" wrapText="1"/>
    </xf>
    <xf numFmtId="3" fontId="10" fillId="17" borderId="38" xfId="2" applyNumberFormat="1" applyFont="1" applyFill="1" applyBorder="1" applyAlignment="1">
      <alignment horizontal="center" vertical="center" wrapText="1"/>
    </xf>
    <xf numFmtId="3" fontId="12" fillId="17" borderId="39" xfId="2" applyNumberFormat="1" applyFont="1" applyFill="1" applyBorder="1" applyAlignment="1">
      <alignment horizontal="center" vertical="center" wrapText="1"/>
    </xf>
    <xf numFmtId="3" fontId="14" fillId="18" borderId="37" xfId="2" applyNumberFormat="1" applyFont="1" applyFill="1" applyBorder="1" applyAlignment="1">
      <alignment horizontal="center" vertical="center" wrapText="1"/>
    </xf>
    <xf numFmtId="3" fontId="14" fillId="18" borderId="38" xfId="2" applyNumberFormat="1" applyFont="1" applyFill="1" applyBorder="1" applyAlignment="1">
      <alignment horizontal="center" vertical="center" wrapText="1"/>
    </xf>
    <xf numFmtId="3" fontId="14" fillId="18" borderId="39" xfId="2" applyNumberFormat="1" applyFont="1" applyFill="1" applyBorder="1" applyAlignment="1">
      <alignment horizontal="center" vertical="center" wrapText="1"/>
    </xf>
    <xf numFmtId="0" fontId="16" fillId="0" borderId="0" xfId="0" applyFont="1"/>
    <xf numFmtId="3" fontId="10" fillId="14" borderId="42" xfId="2" applyNumberFormat="1" applyFont="1" applyFill="1" applyBorder="1" applyAlignment="1">
      <alignment horizontal="center" vertical="center" wrapText="1"/>
    </xf>
    <xf numFmtId="3" fontId="10" fillId="14" borderId="43" xfId="2" applyNumberFormat="1" applyFont="1" applyFill="1" applyBorder="1" applyAlignment="1">
      <alignment horizontal="center" vertical="center" wrapText="1"/>
    </xf>
    <xf numFmtId="3" fontId="10" fillId="14" borderId="44" xfId="2" applyNumberFormat="1" applyFont="1" applyFill="1" applyBorder="1" applyAlignment="1">
      <alignment horizontal="center" vertical="center" wrapText="1"/>
    </xf>
    <xf numFmtId="3" fontId="14" fillId="4" borderId="31" xfId="2" applyNumberFormat="1" applyFont="1" applyFill="1" applyBorder="1" applyAlignment="1">
      <alignment horizontal="center" vertical="center" wrapText="1"/>
    </xf>
    <xf numFmtId="3" fontId="14" fillId="4" borderId="32" xfId="2" applyNumberFormat="1" applyFont="1" applyFill="1" applyBorder="1" applyAlignment="1">
      <alignment horizontal="center" vertical="center" wrapText="1"/>
    </xf>
    <xf numFmtId="3" fontId="14" fillId="4" borderId="33" xfId="2" applyNumberFormat="1" applyFont="1" applyFill="1" applyBorder="1" applyAlignment="1">
      <alignment horizontal="center" vertical="center" wrapText="1"/>
    </xf>
    <xf numFmtId="0" fontId="17" fillId="0" borderId="34" xfId="2" applyFont="1" applyBorder="1" applyAlignment="1">
      <alignment vertical="center"/>
    </xf>
    <xf numFmtId="3" fontId="10" fillId="14" borderId="45" xfId="2" applyNumberFormat="1" applyFont="1" applyFill="1" applyBorder="1" applyAlignment="1">
      <alignment horizontal="center" vertical="center" wrapText="1"/>
    </xf>
    <xf numFmtId="3" fontId="14" fillId="4" borderId="35" xfId="2" applyNumberFormat="1" applyFont="1" applyFill="1" applyBorder="1" applyAlignment="1">
      <alignment horizontal="center" vertical="center" wrapText="1"/>
    </xf>
    <xf numFmtId="3" fontId="14" fillId="4" borderId="0" xfId="2" applyNumberFormat="1" applyFont="1" applyFill="1" applyAlignment="1">
      <alignment horizontal="center" vertical="center" wrapText="1"/>
    </xf>
    <xf numFmtId="3" fontId="14" fillId="4" borderId="36" xfId="2" applyNumberFormat="1" applyFont="1" applyFill="1" applyBorder="1" applyAlignment="1">
      <alignment horizontal="center" vertical="center" wrapText="1"/>
    </xf>
    <xf numFmtId="3" fontId="10" fillId="14" borderId="46" xfId="2" applyNumberFormat="1" applyFont="1" applyFill="1" applyBorder="1" applyAlignment="1">
      <alignment horizontal="center" vertical="center" wrapText="1"/>
    </xf>
    <xf numFmtId="3" fontId="10" fillId="14" borderId="47" xfId="2" applyNumberFormat="1" applyFont="1" applyFill="1" applyBorder="1" applyAlignment="1">
      <alignment horizontal="center" vertical="center" wrapText="1"/>
    </xf>
    <xf numFmtId="3" fontId="12" fillId="14" borderId="48" xfId="2" applyNumberFormat="1" applyFont="1" applyFill="1" applyBorder="1" applyAlignment="1">
      <alignment horizontal="center" vertical="center" wrapText="1"/>
    </xf>
    <xf numFmtId="3" fontId="14" fillId="4" borderId="37" xfId="2" applyNumberFormat="1" applyFont="1" applyFill="1" applyBorder="1" applyAlignment="1">
      <alignment horizontal="center" vertical="center" wrapText="1"/>
    </xf>
    <xf numFmtId="3" fontId="14" fillId="4" borderId="38" xfId="2" applyNumberFormat="1" applyFont="1" applyFill="1" applyBorder="1" applyAlignment="1">
      <alignment horizontal="center" vertical="center" wrapText="1"/>
    </xf>
    <xf numFmtId="3" fontId="14" fillId="4" borderId="39" xfId="2" applyNumberFormat="1" applyFont="1" applyFill="1" applyBorder="1" applyAlignment="1">
      <alignment horizontal="center" vertical="center" wrapText="1"/>
    </xf>
    <xf numFmtId="3" fontId="0" fillId="19" borderId="49" xfId="0" applyNumberFormat="1" applyFill="1" applyBorder="1" applyAlignment="1">
      <alignment horizontal="center" vertical="center"/>
    </xf>
    <xf numFmtId="3" fontId="0" fillId="19" borderId="50" xfId="0" applyNumberFormat="1" applyFill="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2" xfId="0" applyFont="1" applyBorder="1" applyAlignment="1">
      <alignment horizontal="left" vertical="center"/>
    </xf>
    <xf numFmtId="0" fontId="3" fillId="0" borderId="53" xfId="0" applyFont="1" applyBorder="1" applyAlignment="1">
      <alignment horizontal="center" vertical="center"/>
    </xf>
    <xf numFmtId="0" fontId="2" fillId="20" borderId="54" xfId="0" applyFont="1" applyFill="1" applyBorder="1" applyAlignment="1">
      <alignment horizontal="center" vertical="center"/>
    </xf>
    <xf numFmtId="3" fontId="0" fillId="19" borderId="55" xfId="0" applyNumberFormat="1" applyFill="1" applyBorder="1" applyAlignment="1">
      <alignment horizontal="center" vertical="center"/>
    </xf>
    <xf numFmtId="3" fontId="0" fillId="19" borderId="56" xfId="0" applyNumberFormat="1" applyFill="1" applyBorder="1" applyAlignment="1">
      <alignment horizontal="center" vertical="center"/>
    </xf>
    <xf numFmtId="0" fontId="0" fillId="0" borderId="57" xfId="0" applyBorder="1" applyAlignment="1">
      <alignment horizontal="center" vertical="center"/>
    </xf>
    <xf numFmtId="0" fontId="3" fillId="0" borderId="58" xfId="0" applyFont="1" applyBorder="1" applyAlignment="1">
      <alignment horizontal="center" vertical="center"/>
    </xf>
    <xf numFmtId="0" fontId="3" fillId="0" borderId="58" xfId="0" applyFont="1" applyBorder="1" applyAlignment="1">
      <alignment horizontal="left" vertical="center"/>
    </xf>
    <xf numFmtId="0" fontId="3" fillId="0" borderId="59" xfId="0" applyFont="1" applyBorder="1" applyAlignment="1">
      <alignment horizontal="center" vertical="center"/>
    </xf>
    <xf numFmtId="0" fontId="2" fillId="20" borderId="60" xfId="0" applyFont="1" applyFill="1" applyBorder="1" applyAlignment="1">
      <alignment horizontal="center" vertical="center"/>
    </xf>
    <xf numFmtId="3" fontId="14" fillId="21" borderId="31" xfId="2" applyNumberFormat="1" applyFont="1" applyFill="1" applyBorder="1" applyAlignment="1">
      <alignment horizontal="center" vertical="center" wrapText="1"/>
    </xf>
    <xf numFmtId="3" fontId="14" fillId="21" borderId="32" xfId="2" applyNumberFormat="1" applyFont="1" applyFill="1" applyBorder="1" applyAlignment="1">
      <alignment horizontal="center" vertical="center" wrapText="1"/>
    </xf>
    <xf numFmtId="3" fontId="14" fillId="21" borderId="33" xfId="2" applyNumberFormat="1" applyFont="1" applyFill="1" applyBorder="1" applyAlignment="1">
      <alignment horizontal="center" vertical="center" wrapText="1"/>
    </xf>
    <xf numFmtId="3" fontId="0" fillId="19" borderId="61" xfId="0" applyNumberFormat="1" applyFill="1" applyBorder="1" applyAlignment="1">
      <alignment horizontal="center" vertical="center"/>
    </xf>
    <xf numFmtId="3" fontId="0" fillId="19" borderId="62" xfId="0" applyNumberFormat="1" applyFill="1" applyBorder="1" applyAlignment="1">
      <alignment horizontal="center" vertical="center"/>
    </xf>
    <xf numFmtId="0" fontId="0" fillId="0" borderId="39" xfId="0" applyBorder="1" applyAlignment="1">
      <alignment horizontal="center" vertical="center"/>
    </xf>
    <xf numFmtId="0" fontId="3" fillId="0" borderId="63" xfId="0" applyFont="1" applyBorder="1" applyAlignment="1">
      <alignment horizontal="center" vertical="center"/>
    </xf>
    <xf numFmtId="0" fontId="3" fillId="0" borderId="63" xfId="0" applyFont="1" applyBorder="1" applyAlignment="1">
      <alignment horizontal="left" vertical="center"/>
    </xf>
    <xf numFmtId="0" fontId="3" fillId="0" borderId="37" xfId="0" applyFont="1" applyBorder="1" applyAlignment="1">
      <alignment horizontal="center" vertical="center"/>
    </xf>
    <xf numFmtId="0" fontId="2" fillId="20" borderId="64" xfId="0" applyFont="1" applyFill="1" applyBorder="1" applyAlignment="1">
      <alignment horizontal="center" vertical="center"/>
    </xf>
    <xf numFmtId="3" fontId="14" fillId="21" borderId="35" xfId="2" applyNumberFormat="1" applyFont="1" applyFill="1" applyBorder="1" applyAlignment="1">
      <alignment horizontal="center" vertical="center" wrapText="1"/>
    </xf>
    <xf numFmtId="3" fontId="14" fillId="21" borderId="0" xfId="2" applyNumberFormat="1" applyFont="1" applyFill="1" applyAlignment="1">
      <alignment horizontal="center" vertical="center" wrapText="1"/>
    </xf>
    <xf numFmtId="3" fontId="14" fillId="21" borderId="36" xfId="2" applyNumberFormat="1" applyFont="1" applyFill="1" applyBorder="1" applyAlignment="1">
      <alignment horizontal="center" vertical="center" wrapText="1"/>
    </xf>
    <xf numFmtId="3" fontId="0" fillId="19" borderId="65" xfId="0" applyNumberFormat="1" applyFill="1" applyBorder="1" applyAlignment="1">
      <alignment horizontal="center" vertical="center"/>
    </xf>
    <xf numFmtId="3" fontId="0" fillId="19" borderId="34" xfId="0" applyNumberFormat="1" applyFill="1" applyBorder="1" applyAlignment="1">
      <alignment horizontal="center" vertical="center"/>
    </xf>
    <xf numFmtId="0" fontId="0" fillId="0" borderId="66" xfId="0" applyBorder="1" applyAlignment="1">
      <alignment horizontal="center" vertical="center"/>
    </xf>
    <xf numFmtId="0" fontId="3" fillId="0" borderId="67" xfId="0" applyFont="1" applyBorder="1" applyAlignment="1">
      <alignment horizontal="center" vertical="center"/>
    </xf>
    <xf numFmtId="0" fontId="3" fillId="0" borderId="67" xfId="0" applyFont="1" applyBorder="1" applyAlignment="1">
      <alignment horizontal="left" vertical="center"/>
    </xf>
    <xf numFmtId="0" fontId="3" fillId="0" borderId="68" xfId="0" applyFont="1" applyBorder="1" applyAlignment="1">
      <alignment horizontal="center" vertical="center"/>
    </xf>
    <xf numFmtId="0" fontId="2" fillId="20" borderId="69" xfId="0" applyFont="1" applyFill="1" applyBorder="1" applyAlignment="1">
      <alignment horizontal="center" vertical="center"/>
    </xf>
    <xf numFmtId="0" fontId="3" fillId="0" borderId="66" xfId="0" applyFont="1" applyBorder="1" applyAlignment="1">
      <alignment horizontal="center" vertical="center"/>
    </xf>
    <xf numFmtId="3" fontId="14" fillId="21" borderId="37" xfId="2" applyNumberFormat="1" applyFont="1" applyFill="1" applyBorder="1" applyAlignment="1">
      <alignment horizontal="center" vertical="center" wrapText="1"/>
    </xf>
    <xf numFmtId="3" fontId="14" fillId="21" borderId="38" xfId="2" applyNumberFormat="1" applyFont="1" applyFill="1" applyBorder="1" applyAlignment="1">
      <alignment horizontal="center" vertical="center" wrapText="1"/>
    </xf>
    <xf numFmtId="3" fontId="14" fillId="21" borderId="39" xfId="2" applyNumberFormat="1" applyFont="1" applyFill="1" applyBorder="1" applyAlignment="1">
      <alignment horizontal="center" vertical="center" wrapText="1"/>
    </xf>
    <xf numFmtId="3" fontId="8" fillId="13" borderId="70" xfId="2" applyNumberFormat="1" applyFont="1" applyFill="1" applyBorder="1" applyAlignment="1">
      <alignment vertical="center"/>
    </xf>
    <xf numFmtId="3" fontId="8" fillId="13" borderId="71" xfId="2" applyNumberFormat="1" applyFont="1" applyFill="1" applyBorder="1" applyAlignment="1">
      <alignment vertical="center"/>
    </xf>
    <xf numFmtId="3" fontId="12" fillId="15" borderId="72" xfId="2" applyNumberFormat="1" applyFont="1" applyFill="1" applyBorder="1" applyAlignment="1">
      <alignment horizontal="center" vertical="center" wrapText="1"/>
    </xf>
    <xf numFmtId="3" fontId="12" fillId="15" borderId="43" xfId="2" applyNumberFormat="1" applyFont="1" applyFill="1" applyBorder="1" applyAlignment="1">
      <alignment horizontal="center" vertical="center" wrapText="1"/>
    </xf>
    <xf numFmtId="3" fontId="12" fillId="15" borderId="44" xfId="2" applyNumberFormat="1" applyFont="1" applyFill="1" applyBorder="1" applyAlignment="1">
      <alignment horizontal="center" vertical="center" wrapText="1"/>
    </xf>
    <xf numFmtId="0" fontId="3" fillId="0" borderId="57" xfId="0" applyFont="1" applyBorder="1" applyAlignment="1">
      <alignment horizontal="center" vertical="center"/>
    </xf>
    <xf numFmtId="3" fontId="12" fillId="15" borderId="35" xfId="2" applyNumberFormat="1" applyFont="1" applyFill="1" applyBorder="1" applyAlignment="1">
      <alignment horizontal="center" vertical="center" wrapText="1"/>
    </xf>
    <xf numFmtId="3" fontId="12" fillId="15" borderId="0" xfId="2" applyNumberFormat="1" applyFont="1" applyFill="1" applyAlignment="1">
      <alignment horizontal="center" vertical="center" wrapText="1"/>
    </xf>
    <xf numFmtId="3" fontId="12" fillId="15" borderId="36" xfId="2" applyNumberFormat="1" applyFont="1" applyFill="1" applyBorder="1" applyAlignment="1">
      <alignment horizontal="center" vertical="center" wrapText="1"/>
    </xf>
    <xf numFmtId="0" fontId="17" fillId="22" borderId="34" xfId="2" applyFont="1" applyFill="1" applyBorder="1" applyAlignment="1">
      <alignment vertical="center"/>
    </xf>
    <xf numFmtId="0" fontId="0" fillId="0" borderId="5" xfId="0" applyBorder="1"/>
    <xf numFmtId="0" fontId="0" fillId="0" borderId="3" xfId="0" applyBorder="1"/>
    <xf numFmtId="0" fontId="0" fillId="0" borderId="2" xfId="0" applyBorder="1"/>
    <xf numFmtId="0" fontId="2" fillId="20" borderId="73" xfId="0" applyFont="1" applyFill="1" applyBorder="1" applyAlignment="1">
      <alignment horizontal="center" vertical="center" wrapText="1"/>
    </xf>
    <xf numFmtId="0" fontId="2" fillId="20" borderId="50" xfId="0" applyFont="1" applyFill="1" applyBorder="1" applyAlignment="1">
      <alignment horizontal="center" vertical="center" wrapText="1"/>
    </xf>
    <xf numFmtId="0" fontId="2" fillId="20" borderId="74" xfId="0" applyFont="1" applyFill="1" applyBorder="1" applyAlignment="1">
      <alignment horizontal="center" vertical="center" wrapText="1"/>
    </xf>
    <xf numFmtId="0" fontId="2" fillId="20" borderId="75" xfId="0" applyFont="1" applyFill="1" applyBorder="1" applyAlignment="1">
      <alignment horizontal="center" vertical="center" wrapText="1"/>
    </xf>
    <xf numFmtId="0" fontId="2" fillId="20" borderId="76" xfId="0" applyFont="1" applyFill="1" applyBorder="1" applyAlignment="1">
      <alignment horizontal="center" vertical="center" wrapText="1"/>
    </xf>
    <xf numFmtId="0" fontId="2" fillId="20" borderId="17" xfId="0" applyFont="1" applyFill="1" applyBorder="1" applyAlignment="1">
      <alignment horizontal="center" vertical="center" wrapText="1"/>
    </xf>
    <xf numFmtId="0" fontId="2" fillId="20" borderId="45" xfId="0" applyFont="1" applyFill="1" applyBorder="1" applyAlignment="1">
      <alignment horizontal="center" vertical="center" wrapText="1"/>
    </xf>
    <xf numFmtId="0" fontId="2" fillId="20" borderId="77" xfId="0" applyFont="1" applyFill="1" applyBorder="1" applyAlignment="1">
      <alignment horizontal="center" vertical="center" wrapText="1"/>
    </xf>
    <xf numFmtId="0" fontId="2" fillId="20" borderId="40" xfId="0" applyFont="1" applyFill="1" applyBorder="1" applyAlignment="1">
      <alignment horizontal="center" vertical="center" wrapText="1"/>
    </xf>
    <xf numFmtId="0" fontId="2" fillId="20" borderId="41" xfId="0" applyFont="1" applyFill="1" applyBorder="1" applyAlignment="1">
      <alignment horizontal="center" vertical="center" wrapText="1"/>
    </xf>
    <xf numFmtId="0" fontId="2" fillId="20" borderId="78" xfId="0" applyFont="1" applyFill="1" applyBorder="1" applyAlignment="1">
      <alignment horizontal="center" vertical="center" wrapText="1"/>
    </xf>
    <xf numFmtId="3" fontId="12" fillId="15" borderId="79" xfId="2" applyNumberFormat="1" applyFont="1" applyFill="1" applyBorder="1" applyAlignment="1">
      <alignment horizontal="center" vertical="center" wrapText="1"/>
    </xf>
    <xf numFmtId="3" fontId="12" fillId="15" borderId="47" xfId="2" applyNumberFormat="1" applyFont="1" applyFill="1" applyBorder="1" applyAlignment="1">
      <alignment horizontal="center" vertical="center" wrapText="1"/>
    </xf>
    <xf numFmtId="3" fontId="12" fillId="15" borderId="48" xfId="2" applyNumberFormat="1" applyFont="1" applyFill="1" applyBorder="1" applyAlignment="1">
      <alignment horizontal="center" vertical="center" wrapText="1"/>
    </xf>
    <xf numFmtId="0" fontId="17" fillId="0" borderId="80" xfId="2" applyFont="1" applyBorder="1" applyAlignment="1">
      <alignment vertical="center"/>
    </xf>
    <xf numFmtId="0" fontId="0" fillId="0" borderId="0" xfId="0" applyAlignment="1">
      <alignment wrapText="1"/>
    </xf>
    <xf numFmtId="0" fontId="2" fillId="20" borderId="81" xfId="0" applyFont="1" applyFill="1" applyBorder="1" applyAlignment="1">
      <alignment horizontal="center" vertical="center" wrapText="1"/>
    </xf>
    <xf numFmtId="0" fontId="2" fillId="20" borderId="82" xfId="0" applyFont="1" applyFill="1" applyBorder="1" applyAlignment="1">
      <alignment horizontal="center" vertical="center" wrapText="1"/>
    </xf>
    <xf numFmtId="0" fontId="2" fillId="20" borderId="83" xfId="0" applyFont="1" applyFill="1" applyBorder="1" applyAlignment="1">
      <alignment horizontal="center" vertical="center" wrapText="1"/>
    </xf>
    <xf numFmtId="0" fontId="2" fillId="20" borderId="84" xfId="0" applyFont="1" applyFill="1" applyBorder="1" applyAlignment="1">
      <alignment horizontal="center" vertical="center" wrapText="1"/>
    </xf>
    <xf numFmtId="0" fontId="2" fillId="20" borderId="85" xfId="0" applyFont="1" applyFill="1" applyBorder="1" applyAlignment="1">
      <alignment horizontal="center" vertical="center" wrapText="1"/>
    </xf>
    <xf numFmtId="0" fontId="2" fillId="20" borderId="6" xfId="0" applyFont="1" applyFill="1" applyBorder="1" applyAlignment="1">
      <alignment horizontal="center" vertical="center" wrapText="1"/>
    </xf>
    <xf numFmtId="0" fontId="8" fillId="13" borderId="86" xfId="2" applyFont="1" applyFill="1" applyBorder="1" applyAlignment="1">
      <alignment horizontal="center" vertical="center"/>
    </xf>
    <xf numFmtId="0" fontId="8" fillId="13" borderId="87" xfId="2" applyFont="1" applyFill="1" applyBorder="1" applyAlignment="1">
      <alignment horizontal="center" vertical="center"/>
    </xf>
    <xf numFmtId="0" fontId="9" fillId="13" borderId="88" xfId="2" applyFont="1" applyFill="1" applyBorder="1" applyAlignment="1">
      <alignment vertical="center"/>
    </xf>
    <xf numFmtId="0" fontId="1" fillId="4" borderId="2" xfId="0" applyFont="1" applyFill="1" applyBorder="1" applyAlignment="1">
      <alignment horizontal="center" vertical="top" wrapText="1"/>
    </xf>
    <xf numFmtId="0" fontId="20" fillId="2"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5" xfId="0" quotePrefix="1" applyFont="1" applyFill="1" applyBorder="1" applyAlignment="1">
      <alignment horizontal="center" vertical="top" wrapText="1"/>
    </xf>
    <xf numFmtId="0" fontId="3" fillId="2" borderId="89" xfId="0" applyFont="1" applyFill="1" applyBorder="1" applyAlignment="1">
      <alignment vertical="center"/>
    </xf>
    <xf numFmtId="0" fontId="3" fillId="5" borderId="89"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92" xfId="0" applyFont="1" applyFill="1" applyBorder="1" applyAlignment="1">
      <alignment horizontal="center" vertical="center" wrapText="1"/>
    </xf>
    <xf numFmtId="0" fontId="3" fillId="2" borderId="93" xfId="0" applyFont="1" applyFill="1" applyBorder="1" applyAlignment="1">
      <alignment vertical="center"/>
    </xf>
    <xf numFmtId="164" fontId="3" fillId="5" borderId="93" xfId="0" applyNumberFormat="1" applyFont="1" applyFill="1" applyBorder="1" applyAlignment="1">
      <alignment horizontal="center" vertical="center" wrapText="1"/>
    </xf>
    <xf numFmtId="9" fontId="3" fillId="2" borderId="94" xfId="1" applyFont="1" applyFill="1" applyBorder="1" applyAlignment="1">
      <alignment horizontal="center" vertical="center" wrapText="1"/>
    </xf>
    <xf numFmtId="9" fontId="3" fillId="2" borderId="95" xfId="1" applyFont="1" applyFill="1" applyBorder="1" applyAlignment="1">
      <alignment horizontal="center" vertical="center" wrapText="1"/>
    </xf>
    <xf numFmtId="9" fontId="3" fillId="2" borderId="96" xfId="1" applyFont="1" applyFill="1" applyBorder="1" applyAlignment="1">
      <alignment horizontal="center" vertical="center" wrapText="1"/>
    </xf>
    <xf numFmtId="9" fontId="3" fillId="5" borderId="93" xfId="1" applyFont="1" applyFill="1" applyBorder="1" applyAlignment="1">
      <alignment horizontal="center" vertical="center" wrapText="1"/>
    </xf>
    <xf numFmtId="0" fontId="3" fillId="2" borderId="97" xfId="0" applyFont="1" applyFill="1" applyBorder="1"/>
    <xf numFmtId="0" fontId="3" fillId="5" borderId="97" xfId="0" applyFont="1" applyFill="1" applyBorder="1" applyAlignment="1">
      <alignment horizontal="center" vertical="center" wrapText="1"/>
    </xf>
    <xf numFmtId="9" fontId="3" fillId="2" borderId="98" xfId="0" applyNumberFormat="1" applyFont="1" applyFill="1" applyBorder="1" applyAlignment="1">
      <alignment horizontal="center" vertical="center"/>
    </xf>
    <xf numFmtId="9" fontId="3" fillId="2" borderId="99" xfId="0" applyNumberFormat="1" applyFont="1" applyFill="1" applyBorder="1" applyAlignment="1">
      <alignment horizontal="center" vertical="center"/>
    </xf>
    <xf numFmtId="9" fontId="3" fillId="2" borderId="100" xfId="0" applyNumberFormat="1" applyFont="1" applyFill="1" applyBorder="1" applyAlignment="1">
      <alignment horizontal="center" vertical="center"/>
    </xf>
    <xf numFmtId="3" fontId="3" fillId="11" borderId="89" xfId="0" applyNumberFormat="1" applyFont="1" applyFill="1" applyBorder="1"/>
    <xf numFmtId="3" fontId="0" fillId="5" borderId="89" xfId="0" applyNumberFormat="1" applyFill="1" applyBorder="1"/>
    <xf numFmtId="3" fontId="0" fillId="2" borderId="90" xfId="0" applyNumberFormat="1" applyFill="1" applyBorder="1"/>
    <xf numFmtId="3" fontId="0" fillId="2" borderId="91" xfId="0" applyNumberFormat="1" applyFill="1" applyBorder="1"/>
    <xf numFmtId="3" fontId="0" fillId="2" borderId="92" xfId="0" applyNumberFormat="1" applyFill="1" applyBorder="1"/>
    <xf numFmtId="0" fontId="3" fillId="11" borderId="93" xfId="0" applyFont="1" applyFill="1" applyBorder="1"/>
    <xf numFmtId="3" fontId="0" fillId="5" borderId="93" xfId="0" applyNumberFormat="1" applyFill="1" applyBorder="1"/>
    <xf numFmtId="3" fontId="0" fillId="2" borderId="94" xfId="0" applyNumberFormat="1" applyFill="1" applyBorder="1"/>
    <xf numFmtId="3" fontId="0" fillId="2" borderId="95" xfId="0" applyNumberFormat="1" applyFill="1" applyBorder="1"/>
    <xf numFmtId="3" fontId="3" fillId="6" borderId="96" xfId="0" applyNumberFormat="1" applyFont="1" applyFill="1" applyBorder="1"/>
    <xf numFmtId="3" fontId="0" fillId="2" borderId="96" xfId="0" applyNumberFormat="1" applyFill="1" applyBorder="1"/>
    <xf numFmtId="0" fontId="3" fillId="12" borderId="93" xfId="0" applyFont="1" applyFill="1" applyBorder="1"/>
    <xf numFmtId="0" fontId="3" fillId="12" borderId="97" xfId="0" applyFont="1" applyFill="1" applyBorder="1"/>
    <xf numFmtId="3" fontId="0" fillId="5" borderId="97" xfId="0" applyNumberFormat="1" applyFill="1" applyBorder="1"/>
    <xf numFmtId="3" fontId="0" fillId="2" borderId="98" xfId="0" applyNumberFormat="1" applyFill="1" applyBorder="1"/>
    <xf numFmtId="3" fontId="0" fillId="2" borderId="99" xfId="0" applyNumberFormat="1" applyFill="1" applyBorder="1"/>
    <xf numFmtId="3" fontId="3" fillId="6" borderId="100" xfId="0" applyNumberFormat="1" applyFont="1" applyFill="1" applyBorder="1"/>
    <xf numFmtId="164" fontId="0" fillId="5" borderId="90" xfId="1" applyNumberFormat="1" applyFont="1" applyFill="1" applyBorder="1"/>
    <xf numFmtId="164" fontId="0" fillId="2" borderId="91" xfId="1" applyNumberFormat="1" applyFont="1" applyFill="1" applyBorder="1"/>
    <xf numFmtId="164" fontId="0" fillId="2" borderId="92" xfId="1" applyNumberFormat="1" applyFont="1" applyFill="1" applyBorder="1"/>
    <xf numFmtId="164" fontId="0" fillId="5" borderId="94" xfId="1" applyNumberFormat="1" applyFont="1" applyFill="1" applyBorder="1"/>
    <xf numFmtId="164" fontId="0" fillId="2" borderId="95" xfId="1" applyNumberFormat="1" applyFont="1" applyFill="1" applyBorder="1"/>
    <xf numFmtId="164" fontId="3" fillId="6" borderId="95" xfId="1" applyNumberFormat="1" applyFont="1" applyFill="1" applyBorder="1"/>
    <xf numFmtId="164" fontId="0" fillId="2" borderId="96" xfId="1" applyNumberFormat="1" applyFont="1" applyFill="1" applyBorder="1"/>
    <xf numFmtId="0" fontId="3" fillId="11" borderId="97" xfId="0" applyFont="1" applyFill="1" applyBorder="1"/>
    <xf numFmtId="164" fontId="0" fillId="5" borderId="98" xfId="1" applyNumberFormat="1" applyFont="1" applyFill="1" applyBorder="1"/>
    <xf numFmtId="164" fontId="0" fillId="2" borderId="99" xfId="1" applyNumberFormat="1" applyFont="1" applyFill="1" applyBorder="1"/>
    <xf numFmtId="164" fontId="0" fillId="2" borderId="100" xfId="1" applyNumberFormat="1" applyFont="1" applyFill="1" applyBorder="1"/>
    <xf numFmtId="4" fontId="0" fillId="5" borderId="90" xfId="0" applyNumberFormat="1" applyFill="1" applyBorder="1"/>
    <xf numFmtId="4" fontId="0" fillId="2" borderId="91" xfId="0" applyNumberFormat="1" applyFill="1" applyBorder="1"/>
    <xf numFmtId="4" fontId="0" fillId="2" borderId="92" xfId="0" applyNumberFormat="1" applyFill="1" applyBorder="1"/>
    <xf numFmtId="4" fontId="0" fillId="5" borderId="94" xfId="0" applyNumberFormat="1" applyFill="1" applyBorder="1"/>
    <xf numFmtId="4" fontId="0" fillId="2" borderId="95" xfId="0" applyNumberFormat="1" applyFill="1" applyBorder="1"/>
    <xf numFmtId="4" fontId="3" fillId="6" borderId="96" xfId="0" applyNumberFormat="1" applyFont="1" applyFill="1" applyBorder="1"/>
    <xf numFmtId="4" fontId="0" fillId="2" borderId="96" xfId="0" applyNumberFormat="1" applyFill="1" applyBorder="1"/>
    <xf numFmtId="4" fontId="0" fillId="5" borderId="98" xfId="0" applyNumberFormat="1" applyFill="1" applyBorder="1"/>
    <xf numFmtId="4" fontId="0" fillId="2" borderId="99" xfId="0" applyNumberFormat="1" applyFill="1" applyBorder="1"/>
    <xf numFmtId="4" fontId="3" fillId="6" borderId="100" xfId="0" applyNumberFormat="1" applyFont="1" applyFill="1" applyBorder="1"/>
    <xf numFmtId="166" fontId="0" fillId="2" borderId="90" xfId="0" applyNumberFormat="1" applyFill="1" applyBorder="1"/>
    <xf numFmtId="4" fontId="3" fillId="2" borderId="91" xfId="1" applyNumberFormat="1" applyFont="1" applyFill="1" applyBorder="1" applyAlignment="1">
      <alignment horizontal="right"/>
    </xf>
    <xf numFmtId="4" fontId="3" fillId="2" borderId="92" xfId="1" applyNumberFormat="1" applyFont="1" applyFill="1" applyBorder="1" applyAlignment="1">
      <alignment horizontal="right"/>
    </xf>
    <xf numFmtId="166" fontId="0" fillId="2" borderId="94" xfId="0" applyNumberFormat="1" applyFill="1" applyBorder="1"/>
    <xf numFmtId="4" fontId="3" fillId="2" borderId="95" xfId="1" applyNumberFormat="1" applyFont="1" applyFill="1" applyBorder="1" applyAlignment="1">
      <alignment horizontal="right"/>
    </xf>
    <xf numFmtId="4" fontId="3" fillId="2" borderId="96" xfId="1" applyNumberFormat="1" applyFont="1" applyFill="1" applyBorder="1" applyAlignment="1">
      <alignment horizontal="right"/>
    </xf>
    <xf numFmtId="166" fontId="0" fillId="2" borderId="98" xfId="0" applyNumberFormat="1" applyFill="1" applyBorder="1"/>
    <xf numFmtId="4" fontId="3" fillId="2" borderId="99" xfId="1" applyNumberFormat="1" applyFont="1" applyFill="1" applyBorder="1" applyAlignment="1">
      <alignment horizontal="right"/>
    </xf>
    <xf numFmtId="4" fontId="3" fillId="2" borderId="100" xfId="1" applyNumberFormat="1" applyFont="1" applyFill="1" applyBorder="1" applyAlignment="1">
      <alignment horizontal="right"/>
    </xf>
    <xf numFmtId="10" fontId="3" fillId="2" borderId="91" xfId="1" applyNumberFormat="1" applyFont="1" applyFill="1" applyBorder="1" applyAlignment="1">
      <alignment horizontal="right"/>
    </xf>
    <xf numFmtId="10" fontId="3" fillId="2" borderId="92" xfId="1" applyNumberFormat="1" applyFont="1" applyFill="1" applyBorder="1" applyAlignment="1">
      <alignment horizontal="right"/>
    </xf>
    <xf numFmtId="10" fontId="3" fillId="2" borderId="95" xfId="1" applyNumberFormat="1" applyFont="1" applyFill="1" applyBorder="1" applyAlignment="1">
      <alignment horizontal="right"/>
    </xf>
    <xf numFmtId="10" fontId="3" fillId="2" borderId="96" xfId="1" applyNumberFormat="1" applyFont="1" applyFill="1" applyBorder="1" applyAlignment="1">
      <alignment horizontal="right"/>
    </xf>
    <xf numFmtId="10" fontId="3" fillId="2" borderId="99" xfId="1" applyNumberFormat="1" applyFont="1" applyFill="1" applyBorder="1" applyAlignment="1">
      <alignment horizontal="right"/>
    </xf>
    <xf numFmtId="10" fontId="3" fillId="2" borderId="100" xfId="1" applyNumberFormat="1" applyFont="1" applyFill="1" applyBorder="1" applyAlignment="1">
      <alignment horizontal="right"/>
    </xf>
    <xf numFmtId="166" fontId="0" fillId="2" borderId="0" xfId="0" applyNumberFormat="1" applyFill="1"/>
    <xf numFmtId="4" fontId="0" fillId="2" borderId="100" xfId="0" applyNumberFormat="1" applyFill="1" applyBorder="1"/>
    <xf numFmtId="165" fontId="0" fillId="5" borderId="90" xfId="0" applyNumberFormat="1" applyFill="1" applyBorder="1"/>
    <xf numFmtId="165" fontId="0" fillId="2" borderId="91" xfId="0" applyNumberFormat="1" applyFill="1" applyBorder="1"/>
    <xf numFmtId="165" fontId="0" fillId="2" borderId="92" xfId="0" applyNumberFormat="1" applyFill="1" applyBorder="1"/>
    <xf numFmtId="165" fontId="0" fillId="5" borderId="94" xfId="0" applyNumberFormat="1" applyFill="1" applyBorder="1"/>
    <xf numFmtId="165" fontId="0" fillId="2" borderId="95" xfId="0" applyNumberFormat="1" applyFill="1" applyBorder="1"/>
    <xf numFmtId="165" fontId="0" fillId="2" borderId="96" xfId="0" applyNumberFormat="1" applyFill="1" applyBorder="1"/>
    <xf numFmtId="165" fontId="0" fillId="5" borderId="98" xfId="0" applyNumberFormat="1" applyFill="1" applyBorder="1"/>
    <xf numFmtId="165" fontId="0" fillId="2" borderId="99" xfId="0" applyNumberFormat="1" applyFill="1" applyBorder="1"/>
    <xf numFmtId="165" fontId="0" fillId="2" borderId="100" xfId="0" applyNumberFormat="1" applyFill="1" applyBorder="1"/>
    <xf numFmtId="2" fontId="0" fillId="5" borderId="90" xfId="0" applyNumberFormat="1" applyFill="1" applyBorder="1"/>
    <xf numFmtId="2" fontId="0" fillId="5" borderId="94" xfId="0" applyNumberFormat="1" applyFill="1" applyBorder="1"/>
    <xf numFmtId="4" fontId="0" fillId="6" borderId="96" xfId="0" applyNumberFormat="1" applyFill="1" applyBorder="1"/>
    <xf numFmtId="4" fontId="0" fillId="6" borderId="95" xfId="0" applyNumberFormat="1" applyFill="1" applyBorder="1"/>
    <xf numFmtId="2" fontId="0" fillId="5" borderId="98" xfId="0" applyNumberFormat="1" applyFill="1" applyBorder="1"/>
    <xf numFmtId="4" fontId="0" fillId="6" borderId="99" xfId="0" applyNumberFormat="1" applyFill="1" applyBorder="1"/>
    <xf numFmtId="4" fontId="0" fillId="6" borderId="100" xfId="0" applyNumberFormat="1" applyFill="1" applyBorder="1"/>
    <xf numFmtId="0" fontId="1" fillId="10" borderId="2" xfId="0" applyFont="1" applyFill="1" applyBorder="1" applyAlignment="1">
      <alignment horizontal="center" wrapText="1"/>
    </xf>
    <xf numFmtId="0" fontId="0" fillId="5" borderId="90" xfId="0" applyFill="1" applyBorder="1"/>
    <xf numFmtId="0" fontId="0" fillId="2" borderId="91" xfId="0" applyFill="1" applyBorder="1"/>
    <xf numFmtId="0" fontId="0" fillId="2" borderId="92" xfId="0" applyFill="1" applyBorder="1"/>
    <xf numFmtId="0" fontId="0" fillId="5" borderId="94" xfId="0" applyFill="1" applyBorder="1"/>
    <xf numFmtId="0" fontId="0" fillId="2" borderId="95" xfId="0" applyFill="1" applyBorder="1"/>
    <xf numFmtId="0" fontId="0" fillId="2" borderId="96" xfId="0" applyFill="1" applyBorder="1"/>
    <xf numFmtId="0" fontId="7" fillId="2" borderId="0" xfId="0" applyFont="1" applyFill="1" applyAlignment="1">
      <alignment horizontal="left" vertical="top" wrapText="1"/>
    </xf>
    <xf numFmtId="0" fontId="21" fillId="2" borderId="0" xfId="0" applyFont="1" applyFill="1"/>
    <xf numFmtId="0" fontId="22" fillId="8" borderId="0" xfId="0" applyFont="1" applyFill="1"/>
    <xf numFmtId="0" fontId="22" fillId="8" borderId="0" xfId="0" applyFont="1" applyFill="1" applyAlignment="1">
      <alignment horizontal="right"/>
    </xf>
    <xf numFmtId="0" fontId="21" fillId="11" borderId="0" xfId="0" applyFont="1" applyFill="1"/>
    <xf numFmtId="3" fontId="23" fillId="11" borderId="0" xfId="0" applyNumberFormat="1" applyFont="1" applyFill="1"/>
    <xf numFmtId="0" fontId="24" fillId="8" borderId="0" xfId="0" applyFont="1" applyFill="1" applyAlignment="1">
      <alignment horizontal="right"/>
    </xf>
    <xf numFmtId="0" fontId="24" fillId="8" borderId="0" xfId="0" applyFont="1" applyFill="1" applyAlignment="1">
      <alignment horizontal="center"/>
    </xf>
    <xf numFmtId="2" fontId="21" fillId="2" borderId="0" xfId="0" applyNumberFormat="1" applyFont="1" applyFill="1"/>
    <xf numFmtId="0" fontId="25" fillId="2" borderId="0" xfId="0" applyFont="1" applyFill="1"/>
    <xf numFmtId="10" fontId="23" fillId="11" borderId="0" xfId="1" applyNumberFormat="1" applyFont="1" applyFill="1"/>
    <xf numFmtId="164" fontId="21" fillId="2" borderId="0" xfId="1" applyNumberFormat="1" applyFont="1" applyFill="1" applyAlignment="1">
      <alignment horizontal="right"/>
    </xf>
    <xf numFmtId="167" fontId="23" fillId="11" borderId="0" xfId="0" applyNumberFormat="1" applyFont="1" applyFill="1" applyAlignment="1">
      <alignment horizontal="center"/>
    </xf>
    <xf numFmtId="0" fontId="21" fillId="2" borderId="0" xfId="2" applyFont="1" applyFill="1" applyAlignment="1">
      <alignment vertical="center"/>
    </xf>
    <xf numFmtId="3" fontId="21" fillId="2" borderId="0" xfId="2" applyNumberFormat="1" applyFont="1" applyFill="1" applyAlignment="1">
      <alignment vertical="center"/>
    </xf>
    <xf numFmtId="0" fontId="21" fillId="11" borderId="0" xfId="2" applyFont="1" applyFill="1" applyAlignment="1">
      <alignment vertical="center"/>
    </xf>
    <xf numFmtId="3" fontId="21" fillId="11" borderId="0" xfId="2" applyNumberFormat="1" applyFont="1" applyFill="1" applyAlignment="1">
      <alignment vertical="center"/>
    </xf>
    <xf numFmtId="0" fontId="26" fillId="10" borderId="0" xfId="0" applyFont="1" applyFill="1"/>
    <xf numFmtId="0" fontId="22" fillId="10" borderId="0" xfId="0" applyFont="1" applyFill="1"/>
    <xf numFmtId="0" fontId="24" fillId="8" borderId="82" xfId="0" applyFont="1" applyFill="1" applyBorder="1" applyAlignment="1">
      <alignment horizontal="center"/>
    </xf>
    <xf numFmtId="0" fontId="24" fillId="8" borderId="27" xfId="0" applyFont="1" applyFill="1" applyBorder="1" applyAlignment="1">
      <alignment horizontal="center"/>
    </xf>
    <xf numFmtId="0" fontId="24" fillId="8" borderId="81" xfId="0" applyFont="1" applyFill="1" applyBorder="1" applyAlignment="1">
      <alignment horizontal="center"/>
    </xf>
    <xf numFmtId="2" fontId="23" fillId="2" borderId="6" xfId="0" applyNumberFormat="1" applyFont="1" applyFill="1" applyBorder="1" applyAlignment="1">
      <alignment horizontal="right"/>
    </xf>
    <xf numFmtId="0" fontId="21" fillId="2" borderId="77" xfId="2" applyFont="1" applyFill="1" applyBorder="1" applyAlignment="1">
      <alignment horizontal="center" vertical="center"/>
    </xf>
    <xf numFmtId="0" fontId="21" fillId="2" borderId="0" xfId="2" applyFont="1" applyFill="1" applyAlignment="1">
      <alignment horizontal="center" vertical="center" wrapText="1"/>
    </xf>
    <xf numFmtId="0" fontId="21" fillId="2" borderId="45" xfId="2" applyFont="1" applyFill="1" applyBorder="1" applyAlignment="1">
      <alignment horizontal="center" vertical="center"/>
    </xf>
    <xf numFmtId="0" fontId="21" fillId="2" borderId="77" xfId="0" applyFont="1" applyFill="1" applyBorder="1" applyAlignment="1">
      <alignment horizontal="center" vertical="center"/>
    </xf>
    <xf numFmtId="0" fontId="21" fillId="2" borderId="0" xfId="0" applyFont="1" applyFill="1" applyAlignment="1">
      <alignment horizontal="center" vertical="center"/>
    </xf>
    <xf numFmtId="0" fontId="21" fillId="2" borderId="45" xfId="0" applyFont="1" applyFill="1" applyBorder="1" applyAlignment="1">
      <alignment horizontal="right" vertical="center"/>
    </xf>
    <xf numFmtId="2" fontId="21" fillId="2" borderId="17" xfId="0" applyNumberFormat="1" applyFont="1" applyFill="1" applyBorder="1" applyAlignment="1">
      <alignment horizontal="center" vertical="center"/>
    </xf>
    <xf numFmtId="3" fontId="21" fillId="2" borderId="102" xfId="2" applyNumberFormat="1" applyFont="1" applyFill="1" applyBorder="1" applyAlignment="1">
      <alignment vertical="center"/>
    </xf>
    <xf numFmtId="3" fontId="21" fillId="2" borderId="103" xfId="2" applyNumberFormat="1" applyFont="1" applyFill="1" applyBorder="1" applyAlignment="1">
      <alignment vertical="center"/>
    </xf>
    <xf numFmtId="3" fontId="21" fillId="2" borderId="104" xfId="2" applyNumberFormat="1" applyFont="1" applyFill="1" applyBorder="1" applyAlignment="1">
      <alignment vertical="center"/>
    </xf>
    <xf numFmtId="0" fontId="21" fillId="2" borderId="102" xfId="0" applyFont="1" applyFill="1" applyBorder="1"/>
    <xf numFmtId="0" fontId="21" fillId="2" borderId="103" xfId="0" applyFont="1" applyFill="1" applyBorder="1"/>
    <xf numFmtId="3" fontId="21" fillId="2" borderId="103" xfId="0" applyNumberFormat="1" applyFont="1" applyFill="1" applyBorder="1"/>
    <xf numFmtId="10" fontId="21" fillId="2" borderId="104" xfId="1" applyNumberFormat="1" applyFont="1" applyFill="1" applyBorder="1"/>
    <xf numFmtId="2" fontId="21" fillId="2" borderId="105" xfId="0" applyNumberFormat="1" applyFont="1" applyFill="1" applyBorder="1"/>
    <xf numFmtId="3" fontId="21" fillId="2" borderId="102" xfId="0" applyNumberFormat="1" applyFont="1" applyFill="1" applyBorder="1"/>
    <xf numFmtId="3" fontId="21" fillId="2" borderId="106" xfId="2" applyNumberFormat="1" applyFont="1" applyFill="1" applyBorder="1" applyAlignment="1">
      <alignment vertical="center"/>
    </xf>
    <xf numFmtId="3" fontId="21" fillId="2" borderId="107" xfId="2" applyNumberFormat="1" applyFont="1" applyFill="1" applyBorder="1" applyAlignment="1">
      <alignment vertical="center"/>
    </xf>
    <xf numFmtId="3" fontId="21" fillId="2" borderId="108" xfId="2" applyNumberFormat="1" applyFont="1" applyFill="1" applyBorder="1" applyAlignment="1">
      <alignment vertical="center"/>
    </xf>
    <xf numFmtId="3" fontId="21" fillId="2" borderId="106" xfId="0" applyNumberFormat="1" applyFont="1" applyFill="1" applyBorder="1"/>
    <xf numFmtId="0" fontId="21" fillId="2" borderId="107" xfId="0" applyFont="1" applyFill="1" applyBorder="1"/>
    <xf numFmtId="3" fontId="21" fillId="2" borderId="107" xfId="0" applyNumberFormat="1" applyFont="1" applyFill="1" applyBorder="1"/>
    <xf numFmtId="10" fontId="21" fillId="2" borderId="108" xfId="1" applyNumberFormat="1" applyFont="1" applyFill="1" applyBorder="1"/>
    <xf numFmtId="2" fontId="21" fillId="2" borderId="109" xfId="0" applyNumberFormat="1" applyFont="1" applyFill="1" applyBorder="1"/>
    <xf numFmtId="0" fontId="21" fillId="2" borderId="77" xfId="0" applyFont="1" applyFill="1" applyBorder="1"/>
    <xf numFmtId="0" fontId="21" fillId="2" borderId="0" xfId="0" applyFont="1" applyFill="1" applyAlignment="1">
      <alignment horizontal="center"/>
    </xf>
    <xf numFmtId="0" fontId="21" fillId="2" borderId="45" xfId="0" applyFont="1" applyFill="1" applyBorder="1"/>
    <xf numFmtId="3" fontId="21" fillId="2" borderId="0" xfId="0" applyNumberFormat="1" applyFont="1" applyFill="1" applyAlignment="1">
      <alignment horizontal="right"/>
    </xf>
    <xf numFmtId="0" fontId="21" fillId="2" borderId="110" xfId="0" applyFont="1" applyFill="1" applyBorder="1"/>
    <xf numFmtId="3" fontId="21" fillId="2" borderId="52" xfId="0" applyNumberFormat="1" applyFont="1" applyFill="1" applyBorder="1"/>
    <xf numFmtId="0" fontId="21" fillId="2" borderId="101" xfId="0" applyFont="1" applyFill="1" applyBorder="1"/>
    <xf numFmtId="0" fontId="24" fillId="8" borderId="26" xfId="0" applyFont="1" applyFill="1" applyBorder="1" applyAlignment="1">
      <alignment horizontal="center"/>
    </xf>
    <xf numFmtId="0" fontId="24" fillId="8" borderId="6" xfId="0" applyFont="1" applyFill="1" applyBorder="1" applyAlignment="1">
      <alignment horizontal="center" wrapText="1"/>
    </xf>
    <xf numFmtId="0" fontId="24" fillId="10" borderId="3"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10" fontId="21" fillId="23" borderId="17" xfId="0" applyNumberFormat="1" applyFont="1" applyFill="1" applyBorder="1"/>
    <xf numFmtId="9" fontId="0" fillId="0" borderId="27" xfId="1" applyFont="1" applyFill="1" applyBorder="1" applyAlignment="1">
      <alignment horizontal="center" vertical="center"/>
    </xf>
    <xf numFmtId="9" fontId="0" fillId="0" borderId="81" xfId="1" applyFont="1" applyFill="1" applyBorder="1" applyAlignment="1">
      <alignment horizontal="center" vertical="center"/>
    </xf>
    <xf numFmtId="1" fontId="21" fillId="2" borderId="111" xfId="0" applyNumberFormat="1" applyFont="1" applyFill="1" applyBorder="1"/>
    <xf numFmtId="2" fontId="21" fillId="2" borderId="111" xfId="0" applyNumberFormat="1" applyFont="1" applyFill="1" applyBorder="1"/>
    <xf numFmtId="168" fontId="21" fillId="2" borderId="111" xfId="0" applyNumberFormat="1" applyFont="1" applyFill="1" applyBorder="1"/>
    <xf numFmtId="9" fontId="0" fillId="0" borderId="0" xfId="1" applyFont="1" applyFill="1" applyBorder="1" applyAlignment="1">
      <alignment horizontal="center" vertical="center"/>
    </xf>
    <xf numFmtId="9" fontId="0" fillId="0" borderId="45" xfId="1" applyFont="1" applyFill="1" applyBorder="1" applyAlignment="1">
      <alignment horizontal="center" vertical="center"/>
    </xf>
    <xf numFmtId="1" fontId="21" fillId="2" borderId="112" xfId="0" applyNumberFormat="1" applyFont="1" applyFill="1" applyBorder="1"/>
    <xf numFmtId="2" fontId="21" fillId="2" borderId="112" xfId="0" applyNumberFormat="1" applyFont="1" applyFill="1" applyBorder="1"/>
    <xf numFmtId="168" fontId="21" fillId="2" borderId="112" xfId="0" applyNumberFormat="1" applyFont="1" applyFill="1" applyBorder="1"/>
    <xf numFmtId="10" fontId="21" fillId="23" borderId="25" xfId="0" applyNumberFormat="1" applyFont="1" applyFill="1" applyBorder="1"/>
    <xf numFmtId="9" fontId="0" fillId="0" borderId="26" xfId="1" applyFont="1" applyFill="1" applyBorder="1" applyAlignment="1">
      <alignment horizontal="center" vertical="center"/>
    </xf>
    <xf numFmtId="9" fontId="0" fillId="0" borderId="101" xfId="1" applyFont="1" applyFill="1" applyBorder="1" applyAlignment="1">
      <alignment horizontal="center" vertical="center"/>
    </xf>
    <xf numFmtId="168" fontId="21" fillId="2" borderId="113" xfId="0" applyNumberFormat="1" applyFont="1" applyFill="1" applyBorder="1"/>
    <xf numFmtId="2" fontId="21" fillId="2" borderId="113" xfId="0" applyNumberFormat="1" applyFont="1" applyFill="1" applyBorder="1"/>
    <xf numFmtId="0" fontId="30" fillId="2" borderId="0" xfId="0" applyFont="1" applyFill="1"/>
    <xf numFmtId="0" fontId="28" fillId="2" borderId="0" xfId="0" quotePrefix="1" applyFont="1" applyFill="1"/>
    <xf numFmtId="0" fontId="21" fillId="10" borderId="0" xfId="0" applyFont="1" applyFill="1"/>
    <xf numFmtId="2" fontId="21" fillId="10" borderId="0" xfId="0" applyNumberFormat="1" applyFont="1" applyFill="1"/>
    <xf numFmtId="2" fontId="21" fillId="2" borderId="6" xfId="0" quotePrefix="1" applyNumberFormat="1" applyFont="1" applyFill="1" applyBorder="1" applyAlignment="1">
      <alignment horizontal="center"/>
    </xf>
    <xf numFmtId="2" fontId="21" fillId="2" borderId="17" xfId="0" applyNumberFormat="1" applyFont="1" applyFill="1" applyBorder="1" applyAlignment="1">
      <alignment horizontal="center" vertical="center" wrapText="1"/>
    </xf>
    <xf numFmtId="4" fontId="21" fillId="2" borderId="104" xfId="2" applyNumberFormat="1" applyFont="1" applyFill="1" applyBorder="1" applyAlignment="1">
      <alignment vertical="center"/>
    </xf>
    <xf numFmtId="4" fontId="21" fillId="2" borderId="108" xfId="2" applyNumberFormat="1" applyFont="1" applyFill="1" applyBorder="1" applyAlignment="1">
      <alignment vertical="center"/>
    </xf>
    <xf numFmtId="0" fontId="31" fillId="2" borderId="0" xfId="0" applyFont="1" applyFill="1"/>
    <xf numFmtId="0" fontId="0" fillId="19" borderId="0" xfId="0" applyFill="1"/>
    <xf numFmtId="0" fontId="32" fillId="2" borderId="0" xfId="0" applyFont="1" applyFill="1"/>
    <xf numFmtId="0" fontId="1" fillId="8" borderId="1" xfId="0" applyFont="1" applyFill="1" applyBorder="1" applyAlignment="1">
      <alignment horizontal="center" vertical="center" wrapText="1"/>
    </xf>
    <xf numFmtId="0" fontId="24" fillId="10" borderId="2" xfId="0" applyFont="1" applyFill="1" applyBorder="1" applyAlignment="1">
      <alignment horizontal="center" vertical="center" wrapText="1"/>
    </xf>
    <xf numFmtId="3" fontId="3" fillId="11" borderId="6" xfId="0" applyNumberFormat="1" applyFont="1" applyFill="1" applyBorder="1" applyAlignment="1">
      <alignment horizontal="left" vertical="center"/>
    </xf>
    <xf numFmtId="10" fontId="0" fillId="0" borderId="82" xfId="1" applyNumberFormat="1" applyFont="1" applyFill="1" applyBorder="1" applyAlignment="1">
      <alignment horizontal="center" vertical="center"/>
    </xf>
    <xf numFmtId="3" fontId="3" fillId="11" borderId="17" xfId="0" applyNumberFormat="1" applyFont="1" applyFill="1" applyBorder="1" applyAlignment="1">
      <alignment horizontal="left" vertical="center"/>
    </xf>
    <xf numFmtId="10" fontId="0" fillId="0" borderId="77" xfId="1" applyNumberFormat="1" applyFont="1" applyFill="1" applyBorder="1" applyAlignment="1">
      <alignment horizontal="center" vertical="center"/>
    </xf>
    <xf numFmtId="0" fontId="1" fillId="4" borderId="0" xfId="0" applyFont="1" applyFill="1" applyAlignment="1">
      <alignment horizontal="center" vertical="center"/>
    </xf>
    <xf numFmtId="3" fontId="3" fillId="11" borderId="25" xfId="0" applyNumberFormat="1" applyFont="1" applyFill="1" applyBorder="1" applyAlignment="1">
      <alignment horizontal="left" vertical="center"/>
    </xf>
    <xf numFmtId="10" fontId="0" fillId="0" borderId="110" xfId="1" applyNumberFormat="1" applyFont="1" applyFill="1" applyBorder="1" applyAlignment="1">
      <alignment horizontal="center" vertical="center"/>
    </xf>
    <xf numFmtId="0" fontId="33" fillId="4" borderId="0" xfId="0" applyFont="1" applyFill="1" applyAlignment="1">
      <alignment horizontal="center"/>
    </xf>
    <xf numFmtId="164" fontId="0" fillId="2" borderId="0" xfId="0" applyNumberFormat="1" applyFill="1"/>
    <xf numFmtId="0" fontId="0" fillId="0" borderId="0" xfId="0" applyAlignment="1">
      <alignment vertical="center"/>
    </xf>
    <xf numFmtId="0" fontId="1" fillId="10" borderId="60" xfId="0" applyFont="1" applyFill="1" applyBorder="1" applyAlignment="1">
      <alignment horizontal="left" vertical="center"/>
    </xf>
    <xf numFmtId="0" fontId="1" fillId="10" borderId="114" xfId="0" applyFont="1" applyFill="1" applyBorder="1" applyAlignment="1">
      <alignment vertical="center"/>
    </xf>
    <xf numFmtId="0" fontId="1" fillId="10" borderId="55" xfId="0" applyFont="1" applyFill="1" applyBorder="1" applyAlignment="1">
      <alignment horizontal="right" vertical="center"/>
    </xf>
    <xf numFmtId="0" fontId="0" fillId="2" borderId="0" xfId="0" applyFill="1" applyAlignment="1">
      <alignment vertical="center"/>
    </xf>
    <xf numFmtId="0" fontId="0" fillId="11" borderId="77" xfId="0" applyFill="1" applyBorder="1"/>
    <xf numFmtId="0" fontId="0" fillId="11" borderId="0" xfId="0" applyFill="1"/>
    <xf numFmtId="0" fontId="0" fillId="11" borderId="0" xfId="0" applyFill="1" applyAlignment="1">
      <alignment horizontal="right" vertical="center"/>
    </xf>
    <xf numFmtId="0" fontId="24" fillId="8" borderId="45" xfId="0" applyFont="1" applyFill="1" applyBorder="1" applyAlignment="1">
      <alignment horizontal="center" vertical="center" wrapText="1"/>
    </xf>
    <xf numFmtId="0" fontId="31" fillId="0" borderId="0" xfId="0" applyFont="1" applyAlignment="1">
      <alignment horizontal="center" vertical="center" wrapText="1"/>
    </xf>
    <xf numFmtId="9" fontId="24" fillId="8" borderId="45" xfId="0" applyNumberFormat="1" applyFont="1" applyFill="1" applyBorder="1" applyAlignment="1">
      <alignment horizontal="center" vertical="center"/>
    </xf>
    <xf numFmtId="9" fontId="31" fillId="0" borderId="0" xfId="0" applyNumberFormat="1" applyFont="1" applyAlignment="1">
      <alignment horizontal="center"/>
    </xf>
    <xf numFmtId="0" fontId="31" fillId="0" borderId="0" xfId="0" applyFont="1" applyAlignment="1">
      <alignment horizontal="center"/>
    </xf>
    <xf numFmtId="0" fontId="4" fillId="0" borderId="0" xfId="0" applyFont="1"/>
    <xf numFmtId="0" fontId="4" fillId="11" borderId="110" xfId="0" applyFont="1" applyFill="1" applyBorder="1"/>
    <xf numFmtId="0" fontId="4" fillId="11" borderId="26" xfId="0" applyFont="1" applyFill="1" applyBorder="1"/>
    <xf numFmtId="0" fontId="3" fillId="11" borderId="26" xfId="0" applyFont="1" applyFill="1" applyBorder="1" applyAlignment="1">
      <alignment horizontal="right" vertical="center"/>
    </xf>
    <xf numFmtId="0" fontId="24" fillId="8" borderId="101" xfId="0" applyFont="1" applyFill="1" applyBorder="1" applyAlignment="1">
      <alignment horizontal="center" vertical="center"/>
    </xf>
    <xf numFmtId="0" fontId="4" fillId="2" borderId="0" xfId="0" applyFont="1" applyFill="1"/>
    <xf numFmtId="0" fontId="31" fillId="0" borderId="0" xfId="0" applyFont="1"/>
    <xf numFmtId="3" fontId="1" fillId="10" borderId="6" xfId="0" applyNumberFormat="1" applyFont="1" applyFill="1" applyBorder="1" applyAlignment="1">
      <alignment horizontal="center" vertical="center"/>
    </xf>
    <xf numFmtId="0" fontId="1" fillId="4" borderId="6" xfId="0" applyFont="1" applyFill="1" applyBorder="1" applyAlignment="1">
      <alignment vertical="center" wrapText="1"/>
    </xf>
    <xf numFmtId="0" fontId="1" fillId="8" borderId="82" xfId="0" applyFont="1" applyFill="1" applyBorder="1" applyAlignment="1">
      <alignment horizontal="center"/>
    </xf>
    <xf numFmtId="0" fontId="1" fillId="8" borderId="27" xfId="0" applyFont="1" applyFill="1" applyBorder="1" applyAlignment="1">
      <alignment horizontal="center"/>
    </xf>
    <xf numFmtId="0" fontId="1" fillId="8" borderId="81" xfId="0" applyFont="1" applyFill="1" applyBorder="1" applyAlignment="1">
      <alignment horizontal="center"/>
    </xf>
    <xf numFmtId="3" fontId="34" fillId="11" borderId="25" xfId="0" applyNumberFormat="1" applyFont="1" applyFill="1" applyBorder="1" applyAlignment="1">
      <alignment horizontal="center" vertical="center"/>
    </xf>
    <xf numFmtId="0" fontId="1" fillId="4" borderId="17" xfId="0" applyFont="1" applyFill="1" applyBorder="1" applyAlignment="1">
      <alignment vertical="center" wrapText="1"/>
    </xf>
    <xf numFmtId="9" fontId="3" fillId="19" borderId="110" xfId="1" applyFont="1" applyFill="1" applyBorder="1" applyAlignment="1">
      <alignment horizontal="center"/>
    </xf>
    <xf numFmtId="9" fontId="3" fillId="19" borderId="26" xfId="1" applyFont="1" applyFill="1" applyBorder="1" applyAlignment="1">
      <alignment horizontal="center"/>
    </xf>
    <xf numFmtId="9" fontId="3" fillId="2" borderId="101" xfId="1" applyFont="1" applyFill="1" applyBorder="1" applyAlignment="1">
      <alignment horizontal="center"/>
    </xf>
    <xf numFmtId="0" fontId="1" fillId="4" borderId="25" xfId="0" applyFont="1" applyFill="1" applyBorder="1" applyAlignment="1">
      <alignment horizontal="center" wrapText="1"/>
    </xf>
    <xf numFmtId="0" fontId="2" fillId="2" borderId="115" xfId="0" applyFont="1" applyFill="1" applyBorder="1" applyAlignment="1">
      <alignment horizontal="center" vertical="center"/>
    </xf>
    <xf numFmtId="0" fontId="2" fillId="2" borderId="116" xfId="0" applyFont="1" applyFill="1" applyBorder="1" applyAlignment="1">
      <alignment horizontal="center" vertical="center"/>
    </xf>
    <xf numFmtId="0" fontId="2" fillId="2" borderId="117" xfId="0" applyFont="1" applyFill="1" applyBorder="1" applyAlignment="1">
      <alignment horizontal="center" vertical="center"/>
    </xf>
    <xf numFmtId="3" fontId="3" fillId="11" borderId="6" xfId="0" applyNumberFormat="1" applyFont="1" applyFill="1" applyBorder="1" applyAlignment="1">
      <alignment horizontal="left"/>
    </xf>
    <xf numFmtId="3" fontId="3" fillId="24" borderId="118" xfId="0" applyNumberFormat="1" applyFont="1" applyFill="1" applyBorder="1"/>
    <xf numFmtId="3" fontId="3" fillId="2" borderId="119" xfId="0" applyNumberFormat="1" applyFont="1" applyFill="1" applyBorder="1"/>
    <xf numFmtId="3" fontId="3" fillId="2" borderId="120" xfId="0" applyNumberFormat="1" applyFont="1" applyFill="1" applyBorder="1"/>
    <xf numFmtId="3" fontId="31" fillId="0" borderId="0" xfId="0" applyNumberFormat="1" applyFont="1"/>
    <xf numFmtId="3" fontId="3" fillId="11" borderId="17" xfId="0" applyNumberFormat="1" applyFont="1" applyFill="1" applyBorder="1" applyAlignment="1">
      <alignment horizontal="left"/>
    </xf>
    <xf numFmtId="3" fontId="3" fillId="24" borderId="121" xfId="0" applyNumberFormat="1" applyFont="1" applyFill="1" applyBorder="1"/>
    <xf numFmtId="3" fontId="3" fillId="2" borderId="122" xfId="0" applyNumberFormat="1" applyFont="1" applyFill="1" applyBorder="1"/>
    <xf numFmtId="3" fontId="3" fillId="2" borderId="123" xfId="0" applyNumberFormat="1" applyFont="1" applyFill="1" applyBorder="1"/>
    <xf numFmtId="3" fontId="3" fillId="11" borderId="25" xfId="0" applyNumberFormat="1" applyFont="1" applyFill="1" applyBorder="1" applyAlignment="1">
      <alignment horizontal="left"/>
    </xf>
    <xf numFmtId="3" fontId="3" fillId="24" borderId="124" xfId="0" applyNumberFormat="1" applyFont="1" applyFill="1" applyBorder="1"/>
    <xf numFmtId="3" fontId="3" fillId="2" borderId="125" xfId="0" applyNumberFormat="1" applyFont="1" applyFill="1" applyBorder="1"/>
    <xf numFmtId="3" fontId="3" fillId="2" borderId="126" xfId="0" applyNumberFormat="1" applyFont="1" applyFill="1" applyBorder="1"/>
    <xf numFmtId="3" fontId="35" fillId="2" borderId="0" xfId="0" applyNumberFormat="1" applyFont="1" applyFill="1"/>
    <xf numFmtId="3" fontId="3" fillId="11" borderId="6" xfId="0" applyNumberFormat="1" applyFont="1" applyFill="1" applyBorder="1"/>
    <xf numFmtId="164" fontId="3" fillId="24" borderId="118" xfId="1" applyNumberFormat="1" applyFont="1" applyFill="1" applyBorder="1"/>
    <xf numFmtId="164" fontId="3" fillId="2" borderId="119" xfId="1" applyNumberFormat="1" applyFont="1" applyFill="1" applyBorder="1"/>
    <xf numFmtId="164" fontId="3" fillId="2" borderId="120" xfId="1" applyNumberFormat="1" applyFont="1" applyFill="1" applyBorder="1"/>
    <xf numFmtId="164" fontId="31" fillId="0" borderId="0" xfId="0" applyNumberFormat="1" applyFont="1" applyAlignment="1">
      <alignment horizontal="right"/>
    </xf>
    <xf numFmtId="0" fontId="3" fillId="11" borderId="17" xfId="0" applyFont="1" applyFill="1" applyBorder="1"/>
    <xf numFmtId="164" fontId="3" fillId="24" borderId="121" xfId="1" applyNumberFormat="1" applyFont="1" applyFill="1" applyBorder="1"/>
    <xf numFmtId="164" fontId="3" fillId="2" borderId="122" xfId="1" applyNumberFormat="1" applyFont="1" applyFill="1" applyBorder="1"/>
    <xf numFmtId="164" fontId="3" fillId="2" borderId="123" xfId="1" applyNumberFormat="1" applyFont="1" applyFill="1" applyBorder="1"/>
    <xf numFmtId="0" fontId="3" fillId="11" borderId="25" xfId="0" applyFont="1" applyFill="1" applyBorder="1"/>
    <xf numFmtId="164" fontId="3" fillId="24" borderId="124" xfId="1" applyNumberFormat="1" applyFont="1" applyFill="1" applyBorder="1"/>
    <xf numFmtId="164" fontId="3" fillId="2" borderId="125" xfId="1" applyNumberFormat="1" applyFont="1" applyFill="1" applyBorder="1"/>
    <xf numFmtId="164" fontId="3" fillId="2" borderId="126" xfId="1" applyNumberFormat="1" applyFont="1" applyFill="1" applyBorder="1"/>
    <xf numFmtId="9" fontId="35" fillId="2" borderId="0" xfId="1" applyFont="1" applyFill="1"/>
    <xf numFmtId="2" fontId="3" fillId="24" borderId="118" xfId="0" applyNumberFormat="1" applyFont="1" applyFill="1" applyBorder="1"/>
    <xf numFmtId="2" fontId="3" fillId="2" borderId="119" xfId="0" applyNumberFormat="1" applyFont="1" applyFill="1" applyBorder="1"/>
    <xf numFmtId="2" fontId="3" fillId="2" borderId="120" xfId="0" applyNumberFormat="1" applyFont="1" applyFill="1" applyBorder="1"/>
    <xf numFmtId="2" fontId="31" fillId="0" borderId="0" xfId="0" applyNumberFormat="1" applyFont="1"/>
    <xf numFmtId="2" fontId="3" fillId="24" borderId="121" xfId="0" applyNumberFormat="1" applyFont="1" applyFill="1" applyBorder="1"/>
    <xf numFmtId="2" fontId="3" fillId="2" borderId="122" xfId="0" applyNumberFormat="1" applyFont="1" applyFill="1" applyBorder="1"/>
    <xf numFmtId="2" fontId="3" fillId="2" borderId="123" xfId="0" applyNumberFormat="1" applyFont="1" applyFill="1" applyBorder="1"/>
    <xf numFmtId="2" fontId="3" fillId="24" borderId="124" xfId="0" applyNumberFormat="1" applyFont="1" applyFill="1" applyBorder="1"/>
    <xf numFmtId="2" fontId="3" fillId="2" borderId="125" xfId="0" applyNumberFormat="1" applyFont="1" applyFill="1" applyBorder="1"/>
    <xf numFmtId="2" fontId="3" fillId="2" borderId="126" xfId="0" applyNumberFormat="1" applyFont="1" applyFill="1" applyBorder="1"/>
    <xf numFmtId="4" fontId="3" fillId="24" borderId="118" xfId="0" applyNumberFormat="1" applyFont="1" applyFill="1" applyBorder="1"/>
    <xf numFmtId="4" fontId="3" fillId="2" borderId="119" xfId="0" applyNumberFormat="1" applyFont="1" applyFill="1" applyBorder="1"/>
    <xf numFmtId="4" fontId="3" fillId="2" borderId="120" xfId="0" applyNumberFormat="1" applyFont="1" applyFill="1" applyBorder="1"/>
    <xf numFmtId="4" fontId="31" fillId="0" borderId="0" xfId="0" applyNumberFormat="1" applyFont="1"/>
    <xf numFmtId="4" fontId="3" fillId="24" borderId="121" xfId="0" applyNumberFormat="1" applyFont="1" applyFill="1" applyBorder="1"/>
    <xf numFmtId="4" fontId="3" fillId="2" borderId="122" xfId="0" applyNumberFormat="1" applyFont="1" applyFill="1" applyBorder="1"/>
    <xf numFmtId="4" fontId="3" fillId="2" borderId="123" xfId="0" applyNumberFormat="1" applyFont="1" applyFill="1" applyBorder="1"/>
    <xf numFmtId="4" fontId="3" fillId="24" borderId="124" xfId="0" applyNumberFormat="1" applyFont="1" applyFill="1" applyBorder="1"/>
    <xf numFmtId="4" fontId="3" fillId="2" borderId="125" xfId="0" applyNumberFormat="1" applyFont="1" applyFill="1" applyBorder="1"/>
    <xf numFmtId="4" fontId="3" fillId="2" borderId="126" xfId="0" applyNumberFormat="1" applyFont="1" applyFill="1" applyBorder="1"/>
    <xf numFmtId="4" fontId="3" fillId="24" borderId="82" xfId="0" applyNumberFormat="1" applyFont="1" applyFill="1" applyBorder="1"/>
    <xf numFmtId="4" fontId="3" fillId="24" borderId="77" xfId="0" applyNumberFormat="1" applyFont="1" applyFill="1" applyBorder="1"/>
    <xf numFmtId="4" fontId="3" fillId="24" borderId="110" xfId="0" applyNumberFormat="1" applyFont="1" applyFill="1" applyBorder="1"/>
    <xf numFmtId="3" fontId="3" fillId="24" borderId="82" xfId="0" applyNumberFormat="1" applyFont="1" applyFill="1" applyBorder="1"/>
    <xf numFmtId="3" fontId="3" fillId="24" borderId="77" xfId="0" applyNumberFormat="1" applyFont="1" applyFill="1" applyBorder="1"/>
    <xf numFmtId="3" fontId="3" fillId="24" borderId="110" xfId="0" applyNumberFormat="1" applyFont="1" applyFill="1" applyBorder="1"/>
    <xf numFmtId="3" fontId="36" fillId="2" borderId="0" xfId="0" applyNumberFormat="1" applyFont="1" applyFill="1"/>
    <xf numFmtId="3" fontId="37" fillId="0" borderId="0" xfId="0" applyNumberFormat="1" applyFont="1"/>
    <xf numFmtId="3" fontId="23" fillId="0" borderId="0" xfId="0" applyNumberFormat="1" applyFont="1"/>
    <xf numFmtId="165" fontId="3" fillId="24" borderId="118" xfId="0" applyNumberFormat="1" applyFont="1" applyFill="1" applyBorder="1"/>
    <xf numFmtId="165" fontId="3" fillId="2" borderId="119" xfId="0" applyNumberFormat="1" applyFont="1" applyFill="1" applyBorder="1"/>
    <xf numFmtId="165" fontId="3" fillId="2" borderId="120" xfId="0" applyNumberFormat="1" applyFont="1" applyFill="1" applyBorder="1"/>
    <xf numFmtId="165" fontId="31" fillId="0" borderId="0" xfId="0" applyNumberFormat="1" applyFont="1"/>
    <xf numFmtId="165" fontId="3" fillId="24" borderId="121" xfId="0" applyNumberFormat="1" applyFont="1" applyFill="1" applyBorder="1"/>
    <xf numFmtId="165" fontId="3" fillId="2" borderId="122" xfId="0" applyNumberFormat="1" applyFont="1" applyFill="1" applyBorder="1"/>
    <xf numFmtId="165" fontId="3" fillId="2" borderId="123" xfId="0" applyNumberFormat="1" applyFont="1" applyFill="1" applyBorder="1"/>
    <xf numFmtId="168" fontId="0" fillId="2" borderId="0" xfId="0" applyNumberFormat="1" applyFill="1"/>
    <xf numFmtId="165" fontId="3" fillId="24" borderId="124" xfId="0" applyNumberFormat="1" applyFont="1" applyFill="1" applyBorder="1"/>
    <xf numFmtId="165" fontId="3" fillId="2" borderId="125" xfId="0" applyNumberFormat="1" applyFont="1" applyFill="1" applyBorder="1"/>
    <xf numFmtId="165" fontId="3" fillId="2" borderId="126" xfId="0" applyNumberFormat="1" applyFont="1" applyFill="1" applyBorder="1"/>
    <xf numFmtId="169" fontId="0" fillId="2" borderId="0" xfId="0" applyNumberFormat="1" applyFill="1"/>
    <xf numFmtId="165" fontId="31" fillId="2" borderId="0" xfId="0" applyNumberFormat="1" applyFont="1" applyFill="1"/>
    <xf numFmtId="3" fontId="31" fillId="2" borderId="0" xfId="0" applyNumberFormat="1" applyFont="1" applyFill="1"/>
    <xf numFmtId="0" fontId="1" fillId="10" borderId="2" xfId="0" applyFont="1" applyFill="1" applyBorder="1" applyAlignment="1">
      <alignment horizontal="left"/>
    </xf>
    <xf numFmtId="0" fontId="1" fillId="10" borderId="3" xfId="0" applyFont="1" applyFill="1" applyBorder="1" applyAlignment="1">
      <alignment horizontal="left"/>
    </xf>
    <xf numFmtId="0" fontId="1" fillId="10" borderId="5" xfId="0" applyFont="1" applyFill="1" applyBorder="1" applyAlignment="1">
      <alignment horizontal="left"/>
    </xf>
    <xf numFmtId="3" fontId="3" fillId="2" borderId="118" xfId="0" applyNumberFormat="1" applyFont="1" applyFill="1" applyBorder="1"/>
    <xf numFmtId="3" fontId="3" fillId="2" borderId="121" xfId="0" applyNumberFormat="1" applyFont="1" applyFill="1" applyBorder="1"/>
    <xf numFmtId="3" fontId="3" fillId="2" borderId="124" xfId="0" applyNumberFormat="1" applyFont="1" applyFill="1" applyBorder="1"/>
  </cellXfs>
  <cellStyles count="3">
    <cellStyle name="Βασικό_ΡΑΕ ΑΡΙΘΜΟΣ ΠΕΛΑΤΩΝ XT 2009-2011" xfId="2" xr:uid="{33795057-20A0-4D0B-91CE-F1C12A1B3848}"/>
    <cellStyle name="Κανονικό" xfId="0" builtinId="0"/>
    <cellStyle name="Ποσοστό" xfId="1" builtinId="5"/>
  </cellStyles>
  <dxfs count="82">
    <dxf>
      <font>
        <color theme="0"/>
      </font>
    </dxf>
    <dxf>
      <font>
        <color theme="0"/>
      </font>
    </dxf>
    <dxf>
      <fill>
        <patternFill>
          <bgColor theme="9" tint="0.59996337778862885"/>
        </patternFill>
      </fill>
    </dxf>
    <dxf>
      <fill>
        <patternFill>
          <bgColor theme="6" tint="0.59996337778862885"/>
        </patternFill>
      </fill>
    </dxf>
    <dxf>
      <font>
        <strike val="0"/>
        <color rgb="FFC00000"/>
      </font>
    </dxf>
    <dxf>
      <font>
        <strike val="0"/>
        <color rgb="FFC00000"/>
      </font>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6" tint="0.59996337778862885"/>
        </patternFill>
      </fill>
    </dxf>
    <dxf>
      <fill>
        <patternFill>
          <bgColor theme="9" tint="0.59996337778862885"/>
        </patternFill>
      </fill>
    </dxf>
    <dxf>
      <fill>
        <patternFill>
          <bgColor theme="9"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800" b="1" i="0" baseline="0">
                <a:effectLst/>
              </a:rPr>
              <a:t>Σύγκριση σεναρίων επιμερισμού του κόστους Δικτύου</a:t>
            </a:r>
          </a:p>
          <a:p>
            <a:pPr>
              <a:defRPr/>
            </a:pPr>
            <a:r>
              <a:rPr lang="el-GR" sz="1800" b="1" i="0" baseline="0">
                <a:effectLst/>
              </a:rPr>
              <a:t>Συνολική χρέωση ΧΔ ανά </a:t>
            </a:r>
            <a:r>
              <a:rPr lang="en-US" sz="1800" b="1" i="0" baseline="0">
                <a:effectLst/>
              </a:rPr>
              <a:t>MWh</a:t>
            </a:r>
            <a:r>
              <a:rPr lang="el-GR" sz="1800" b="1" i="0" baseline="0">
                <a:effectLst/>
              </a:rPr>
              <a:t> κατανάλωσης</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8116748064719757E-2"/>
          <c:y val="0.12233888177550148"/>
          <c:w val="0.90331785109139839"/>
          <c:h val="0.38900567098597688"/>
        </c:manualLayout>
      </c:layout>
      <c:barChart>
        <c:barDir val="col"/>
        <c:grouping val="clustered"/>
        <c:varyColors val="0"/>
        <c:ser>
          <c:idx val="0"/>
          <c:order val="0"/>
          <c:tx>
            <c:strRef>
              <c:f>'Σενάρια (Θέμα #2)'!$C$2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#2)'!$C$27:$C$35</c:f>
              <c:numCache>
                <c:formatCode>#,##0.00</c:formatCode>
                <c:ptCount val="9"/>
                <c:pt idx="0">
                  <c:v>0</c:v>
                </c:pt>
                <c:pt idx="1">
                  <c:v>23.359553508548991</c:v>
                </c:pt>
                <c:pt idx="2">
                  <c:v>21.35504929512927</c:v>
                </c:pt>
                <c:pt idx="3">
                  <c:v>23.697813389268671</c:v>
                </c:pt>
                <c:pt idx="4">
                  <c:v>21.342171287931528</c:v>
                </c:pt>
                <c:pt idx="5">
                  <c:v>0</c:v>
                </c:pt>
                <c:pt idx="6">
                  <c:v>23.39614971729474</c:v>
                </c:pt>
                <c:pt idx="7">
                  <c:v>0</c:v>
                </c:pt>
                <c:pt idx="8">
                  <c:v>6.1592410777092264</c:v>
                </c:pt>
              </c:numCache>
            </c:numRef>
          </c:val>
          <c:extLst>
            <c:ext xmlns:c16="http://schemas.microsoft.com/office/drawing/2014/chart" uri="{C3380CC4-5D6E-409C-BE32-E72D297353CC}">
              <c16:uniqueId val="{00000000-A6DB-4453-A5C8-FAB6680FB384}"/>
            </c:ext>
          </c:extLst>
        </c:ser>
        <c:ser>
          <c:idx val="1"/>
          <c:order val="1"/>
          <c:tx>
            <c:strRef>
              <c:f>'Σενάρια (Θέμα #2)'!$D$2</c:f>
              <c:strCache>
                <c:ptCount val="1"/>
                <c:pt idx="0">
                  <c:v>Σενάριο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#2)'!$D$27:$D$35</c:f>
              <c:numCache>
                <c:formatCode>#,##0.00</c:formatCode>
                <c:ptCount val="9"/>
                <c:pt idx="0">
                  <c:v>3.2295191008031545</c:v>
                </c:pt>
                <c:pt idx="1">
                  <c:v>20.026108548413291</c:v>
                </c:pt>
                <c:pt idx="2">
                  <c:v>20.947419576122869</c:v>
                </c:pt>
                <c:pt idx="3">
                  <c:v>19.170632056862726</c:v>
                </c:pt>
                <c:pt idx="4">
                  <c:v>23.570944860149808</c:v>
                </c:pt>
                <c:pt idx="5">
                  <c:v>2.170720100442407</c:v>
                </c:pt>
                <c:pt idx="6">
                  <c:v>18.602949178602461</c:v>
                </c:pt>
                <c:pt idx="7">
                  <c:v>1.1420434736950125</c:v>
                </c:pt>
                <c:pt idx="8">
                  <c:v>6.4534987570771545</c:v>
                </c:pt>
              </c:numCache>
            </c:numRef>
          </c:val>
          <c:extLst>
            <c:ext xmlns:c16="http://schemas.microsoft.com/office/drawing/2014/chart" uri="{C3380CC4-5D6E-409C-BE32-E72D297353CC}">
              <c16:uniqueId val="{00000001-A6DB-4453-A5C8-FAB6680FB384}"/>
            </c:ext>
          </c:extLst>
        </c:ser>
        <c:ser>
          <c:idx val="5"/>
          <c:order val="2"/>
          <c:tx>
            <c:strRef>
              <c:f>'Σενάρια (Θέμα #2)'!$E$2</c:f>
              <c:strCache>
                <c:ptCount val="1"/>
                <c:pt idx="0">
                  <c:v>Σενάριο 1A</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#2)'!$E$27:$E$35</c:f>
              <c:numCache>
                <c:formatCode>#,##0.00</c:formatCode>
                <c:ptCount val="9"/>
                <c:pt idx="0">
                  <c:v>1.2153208834686131</c:v>
                </c:pt>
                <c:pt idx="1">
                  <c:v>20.146075398521386</c:v>
                </c:pt>
                <c:pt idx="2">
                  <c:v>21.067386426230968</c:v>
                </c:pt>
                <c:pt idx="3">
                  <c:v>19.290598906970821</c:v>
                </c:pt>
                <c:pt idx="4">
                  <c:v>23.6909117102579</c:v>
                </c:pt>
                <c:pt idx="5">
                  <c:v>0.15652188310786574</c:v>
                </c:pt>
                <c:pt idx="6">
                  <c:v>18.722916028710554</c:v>
                </c:pt>
                <c:pt idx="7">
                  <c:v>0.33127442638947618</c:v>
                </c:pt>
                <c:pt idx="8">
                  <c:v>6.4989673706036299</c:v>
                </c:pt>
              </c:numCache>
            </c:numRef>
          </c:val>
          <c:extLst>
            <c:ext xmlns:c16="http://schemas.microsoft.com/office/drawing/2014/chart" uri="{C3380CC4-5D6E-409C-BE32-E72D297353CC}">
              <c16:uniqueId val="{00000002-A6DB-4453-A5C8-FAB6680FB384}"/>
            </c:ext>
          </c:extLst>
        </c:ser>
        <c:ser>
          <c:idx val="2"/>
          <c:order val="3"/>
          <c:tx>
            <c:strRef>
              <c:f>'Σενάρια (Θέμα #2)'!$F$2</c:f>
              <c:strCache>
                <c:ptCount val="1"/>
                <c:pt idx="0">
                  <c:v>Σενάριο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#2)'!$F$27:$F$35</c:f>
              <c:numCache>
                <c:formatCode>#,##0.00</c:formatCode>
                <c:ptCount val="9"/>
                <c:pt idx="0">
                  <c:v>1.6415386928713771</c:v>
                </c:pt>
                <c:pt idx="1">
                  <c:v>20.005248668182968</c:v>
                </c:pt>
                <c:pt idx="2">
                  <c:v>21.054624358086247</c:v>
                </c:pt>
                <c:pt idx="3">
                  <c:v>19.099421622667947</c:v>
                </c:pt>
                <c:pt idx="4">
                  <c:v>23.772621619752528</c:v>
                </c:pt>
                <c:pt idx="5">
                  <c:v>0.58273969251062974</c:v>
                </c:pt>
                <c:pt idx="6">
                  <c:v>18.55013175089206</c:v>
                </c:pt>
                <c:pt idx="7">
                  <c:v>0.51208075873951719</c:v>
                </c:pt>
                <c:pt idx="8">
                  <c:v>6.4610219467840979</c:v>
                </c:pt>
              </c:numCache>
            </c:numRef>
          </c:val>
          <c:extLst>
            <c:ext xmlns:c16="http://schemas.microsoft.com/office/drawing/2014/chart" uri="{C3380CC4-5D6E-409C-BE32-E72D297353CC}">
              <c16:uniqueId val="{00000003-A6DB-4453-A5C8-FAB6680FB384}"/>
            </c:ext>
          </c:extLst>
        </c:ser>
        <c:ser>
          <c:idx val="3"/>
          <c:order val="4"/>
          <c:tx>
            <c:strRef>
              <c:f>'Σενάρια (Θέμα #2)'!$G$2</c:f>
              <c:strCache>
                <c:ptCount val="1"/>
                <c:pt idx="0">
                  <c:v>Σενάριο 2A</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#2)'!$G$27:$G$35</c:f>
              <c:numCache>
                <c:formatCode>#,##0.00</c:formatCode>
                <c:ptCount val="9"/>
                <c:pt idx="0">
                  <c:v>1.2153208834686131</c:v>
                </c:pt>
                <c:pt idx="1">
                  <c:v>20.030573240152997</c:v>
                </c:pt>
                <c:pt idx="2">
                  <c:v>21.079948930056275</c:v>
                </c:pt>
                <c:pt idx="3">
                  <c:v>19.124746194637975</c:v>
                </c:pt>
                <c:pt idx="4">
                  <c:v>23.797946191722556</c:v>
                </c:pt>
                <c:pt idx="5">
                  <c:v>0.15652188310786574</c:v>
                </c:pt>
                <c:pt idx="6">
                  <c:v>18.575456322862092</c:v>
                </c:pt>
                <c:pt idx="7">
                  <c:v>0.33127442638947618</c:v>
                </c:pt>
                <c:pt idx="8">
                  <c:v>6.4711617187402242</c:v>
                </c:pt>
              </c:numCache>
            </c:numRef>
          </c:val>
          <c:extLst>
            <c:ext xmlns:c16="http://schemas.microsoft.com/office/drawing/2014/chart" uri="{C3380CC4-5D6E-409C-BE32-E72D297353CC}">
              <c16:uniqueId val="{00000004-A6DB-4453-A5C8-FAB6680FB384}"/>
            </c:ext>
          </c:extLst>
        </c:ser>
        <c:ser>
          <c:idx val="4"/>
          <c:order val="5"/>
          <c:tx>
            <c:strRef>
              <c:f>'Σενάρια (Θέμα #2)'!$H$2</c:f>
              <c:strCache>
                <c:ptCount val="1"/>
                <c:pt idx="0">
                  <c:v>Σενάριο 3</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#2)'!$H$27:$H$35</c:f>
              <c:numCache>
                <c:formatCode>#,##0.00</c:formatCode>
                <c:ptCount val="9"/>
                <c:pt idx="0">
                  <c:v>5.2759632442590059</c:v>
                </c:pt>
                <c:pt idx="1">
                  <c:v>20.053766969256806</c:v>
                </c:pt>
                <c:pt idx="2">
                  <c:v>20.810103378206822</c:v>
                </c:pt>
                <c:pt idx="3">
                  <c:v>19.263152737929552</c:v>
                </c:pt>
                <c:pt idx="4">
                  <c:v>23.31192859113267</c:v>
                </c:pt>
                <c:pt idx="5">
                  <c:v>4.2171642438982584</c:v>
                </c:pt>
                <c:pt idx="6">
                  <c:v>18.671775741552501</c:v>
                </c:pt>
                <c:pt idx="7">
                  <c:v>1.8578336113341414</c:v>
                </c:pt>
                <c:pt idx="8">
                  <c:v>6.4449505924509367</c:v>
                </c:pt>
              </c:numCache>
            </c:numRef>
          </c:val>
          <c:extLst>
            <c:ext xmlns:c16="http://schemas.microsoft.com/office/drawing/2014/chart" uri="{C3380CC4-5D6E-409C-BE32-E72D297353CC}">
              <c16:uniqueId val="{00000005-A6DB-4453-A5C8-FAB6680FB384}"/>
            </c:ext>
          </c:extLst>
        </c:ser>
        <c:ser>
          <c:idx val="6"/>
          <c:order val="6"/>
          <c:tx>
            <c:strRef>
              <c:f>'Σενάρια (Θέμα #2)'!$I$2</c:f>
              <c:strCache>
                <c:ptCount val="1"/>
                <c:pt idx="0">
                  <c:v>Σενάριο 3A</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#2)'!$I$27:$I$35</c:f>
              <c:numCache>
                <c:formatCode>#,##0.00</c:formatCode>
                <c:ptCount val="9"/>
                <c:pt idx="0">
                  <c:v>1.2153208834686131</c:v>
                </c:pt>
                <c:pt idx="1">
                  <c:v>20.296336321040553</c:v>
                </c:pt>
                <c:pt idx="2">
                  <c:v>21.052672729990572</c:v>
                </c:pt>
                <c:pt idx="3">
                  <c:v>19.505722089713306</c:v>
                </c:pt>
                <c:pt idx="4">
                  <c:v>23.554497942916417</c:v>
                </c:pt>
                <c:pt idx="5">
                  <c:v>0.15652188310786574</c:v>
                </c:pt>
                <c:pt idx="6">
                  <c:v>18.914345093336248</c:v>
                </c:pt>
                <c:pt idx="7">
                  <c:v>0.33127442638947618</c:v>
                </c:pt>
                <c:pt idx="8">
                  <c:v>6.5305613219628915</c:v>
                </c:pt>
              </c:numCache>
            </c:numRef>
          </c:val>
          <c:extLst>
            <c:ext xmlns:c16="http://schemas.microsoft.com/office/drawing/2014/chart" uri="{C3380CC4-5D6E-409C-BE32-E72D297353CC}">
              <c16:uniqueId val="{00000006-A6DB-4453-A5C8-FAB6680FB384}"/>
            </c:ext>
          </c:extLst>
        </c:ser>
        <c:dLbls>
          <c:dLblPos val="outEnd"/>
          <c:showLegendKey val="0"/>
          <c:showVal val="1"/>
          <c:showCatName val="0"/>
          <c:showSerName val="0"/>
          <c:showPercent val="0"/>
          <c:showBubbleSize val="0"/>
        </c:dLbls>
        <c:gapWidth val="219"/>
        <c:overlap val="-27"/>
        <c:axId val="390895800"/>
        <c:axId val="585769264"/>
      </c:barChart>
      <c:catAx>
        <c:axId val="390895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585769264"/>
        <c:crosses val="autoZero"/>
        <c:auto val="1"/>
        <c:lblAlgn val="ctr"/>
        <c:lblOffset val="100"/>
        <c:noMultiLvlLbl val="0"/>
      </c:catAx>
      <c:valAx>
        <c:axId val="585769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 / </a:t>
                </a:r>
                <a:r>
                  <a:rPr lang="en-US" b="1"/>
                  <a:t>MWh</a:t>
                </a:r>
                <a:r>
                  <a:rPr lang="el-GR" b="1"/>
                  <a:t>)</a:t>
                </a:r>
                <a:endParaRPr lang="en-GB" b="1"/>
              </a:p>
            </c:rich>
          </c:tx>
          <c:layout>
            <c:manualLayout>
              <c:xMode val="edge"/>
              <c:yMode val="edge"/>
              <c:x val="8.4471909365759663E-3"/>
              <c:y val="0.2975993493771025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895800"/>
        <c:crosses val="autoZero"/>
        <c:crossBetween val="between"/>
      </c:valAx>
      <c:spPr>
        <a:noFill/>
        <a:ln>
          <a:noFill/>
        </a:ln>
        <a:effectLst/>
      </c:spPr>
    </c:plotArea>
    <c:legend>
      <c:legendPos val="b"/>
      <c:layout>
        <c:manualLayout>
          <c:xMode val="edge"/>
          <c:yMode val="edge"/>
          <c:x val="6.4961437458503964E-3"/>
          <c:y val="0.80454804602153396"/>
          <c:w val="0.99350385677535158"/>
          <c:h val="0.1954519539784659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16748064719757E-2"/>
          <c:y val="5.5757575757575756E-2"/>
          <c:w val="0.90331785109139839"/>
          <c:h val="0.42043884514435698"/>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#3)'!$C$52:$C$60</c:f>
              <c:numCache>
                <c:formatCode>#,##0.00</c:formatCode>
                <c:ptCount val="9"/>
                <c:pt idx="0">
                  <c:v>0</c:v>
                </c:pt>
                <c:pt idx="1">
                  <c:v>134.88711903917434</c:v>
                </c:pt>
                <c:pt idx="2">
                  <c:v>223.6414805821039</c:v>
                </c:pt>
                <c:pt idx="3">
                  <c:v>185.45914915105428</c:v>
                </c:pt>
                <c:pt idx="4">
                  <c:v>67.445429530472424</c:v>
                </c:pt>
                <c:pt idx="5">
                  <c:v>0</c:v>
                </c:pt>
                <c:pt idx="6">
                  <c:v>2179.3195721965872</c:v>
                </c:pt>
                <c:pt idx="7">
                  <c:v>0</c:v>
                </c:pt>
                <c:pt idx="8">
                  <c:v>5823.865331650808</c:v>
                </c:pt>
              </c:numCache>
            </c:numRef>
          </c:val>
          <c:extLst>
            <c:ext xmlns:c16="http://schemas.microsoft.com/office/drawing/2014/chart" uri="{C3380CC4-5D6E-409C-BE32-E72D297353CC}">
              <c16:uniqueId val="{00000000-7A02-4326-A924-CC630C0B09B7}"/>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#3)'!$D$52:$D$60</c:f>
              <c:numCache>
                <c:formatCode>#,##0.00</c:formatCode>
                <c:ptCount val="9"/>
                <c:pt idx="0">
                  <c:v>1.7494294585387955</c:v>
                </c:pt>
                <c:pt idx="1">
                  <c:v>131.79846354176394</c:v>
                </c:pt>
                <c:pt idx="2">
                  <c:v>220.84319886846717</c:v>
                </c:pt>
                <c:pt idx="3">
                  <c:v>179.42400070467716</c:v>
                </c:pt>
                <c:pt idx="4">
                  <c:v>68.596184934372005</c:v>
                </c:pt>
                <c:pt idx="5">
                  <c:v>1.7494294585387955</c:v>
                </c:pt>
                <c:pt idx="6">
                  <c:v>2094.4546591252288</c:v>
                </c:pt>
                <c:pt idx="7">
                  <c:v>61.153342085777965</c:v>
                </c:pt>
                <c:pt idx="8">
                  <c:v>5904.1723108092619</c:v>
                </c:pt>
              </c:numCache>
            </c:numRef>
          </c:val>
          <c:extLst>
            <c:ext xmlns:c16="http://schemas.microsoft.com/office/drawing/2014/chart" uri="{C3380CC4-5D6E-409C-BE32-E72D297353CC}">
              <c16:uniqueId val="{00000001-7A02-4326-A924-CC630C0B09B7}"/>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#3)'!$E$52:$E$60</c:f>
              <c:numCache>
                <c:formatCode>#,##0.00</c:formatCode>
                <c:ptCount val="9"/>
                <c:pt idx="0">
                  <c:v>3.498858917077591</c:v>
                </c:pt>
                <c:pt idx="1">
                  <c:v>128.70980804435354</c:v>
                </c:pt>
                <c:pt idx="2">
                  <c:v>218.04491715483047</c:v>
                </c:pt>
                <c:pt idx="3">
                  <c:v>173.38885225830009</c:v>
                </c:pt>
                <c:pt idx="4">
                  <c:v>69.746940338271585</c:v>
                </c:pt>
                <c:pt idx="5">
                  <c:v>3.498858917077591</c:v>
                </c:pt>
                <c:pt idx="6">
                  <c:v>2009.5897460538695</c:v>
                </c:pt>
                <c:pt idx="7">
                  <c:v>122.30668417155593</c:v>
                </c:pt>
                <c:pt idx="8">
                  <c:v>5984.4792899677177</c:v>
                </c:pt>
              </c:numCache>
            </c:numRef>
          </c:val>
          <c:extLst>
            <c:ext xmlns:c16="http://schemas.microsoft.com/office/drawing/2014/chart" uri="{C3380CC4-5D6E-409C-BE32-E72D297353CC}">
              <c16:uniqueId val="{00000002-7A02-4326-A924-CC630C0B09B7}"/>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#3)'!$F$52:$F$60</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3-7A02-4326-A924-CC630C0B09B7}"/>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#3)'!$G$52:$G$60</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xmlns:c15="http://schemas.microsoft.com/office/drawing/2012/chart">
            <c:ext xmlns:c16="http://schemas.microsoft.com/office/drawing/2014/chart" uri="{C3380CC4-5D6E-409C-BE32-E72D297353CC}">
              <c16:uniqueId val="{00000004-7A02-4326-A924-CC630C0B09B7}"/>
            </c:ext>
          </c:extLst>
        </c:ser>
        <c:dLbls>
          <c:dLblPos val="outEnd"/>
          <c:showLegendKey val="0"/>
          <c:showVal val="1"/>
          <c:showCatName val="0"/>
          <c:showSerName val="0"/>
          <c:showPercent val="0"/>
          <c:showBubbleSize val="0"/>
        </c:dLbls>
        <c:gapWidth val="219"/>
        <c:overlap val="-27"/>
        <c:axId val="390901288"/>
        <c:axId val="390902072"/>
        <c:extLst/>
      </c:barChart>
      <c:catAx>
        <c:axId val="390901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390902072"/>
        <c:crosses val="autoZero"/>
        <c:auto val="1"/>
        <c:lblAlgn val="ctr"/>
        <c:lblOffset val="100"/>
        <c:noMultiLvlLbl val="0"/>
      </c:catAx>
      <c:valAx>
        <c:axId val="390902072"/>
        <c:scaling>
          <c:orientation val="minMax"/>
          <c:max val="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 / μετρητή ανά έτος)</a:t>
                </a:r>
                <a:endParaRPr lang="en-GB" b="1"/>
              </a:p>
            </c:rich>
          </c:tx>
          <c:layout>
            <c:manualLayout>
              <c:xMode val="edge"/>
              <c:yMode val="edge"/>
              <c:x val="1.5198245788896642E-2"/>
              <c:y val="5.3467907420663326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901288"/>
        <c:crosses val="autoZero"/>
        <c:crossBetween val="between"/>
        <c:majorUnit val="50"/>
        <c:min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l-GR" b="1"/>
              <a:t>Διαδικασία μετάβασης, Ανάκτηση</a:t>
            </a:r>
            <a:r>
              <a:rPr lang="el-GR" b="1" baseline="0"/>
              <a:t> Απαιτούμενου Εσόδου</a:t>
            </a:r>
            <a:endParaRPr lang="en-GB" b="1"/>
          </a:p>
        </c:rich>
      </c:tx>
      <c:layout>
        <c:manualLayout>
          <c:xMode val="edge"/>
          <c:yMode val="edge"/>
          <c:x val="0.19897435897435894"/>
          <c:y val="5.37943850118445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6428989881939399E-2"/>
          <c:y val="0.15137615882876673"/>
          <c:w val="0.88221354809281316"/>
          <c:h val="0.66050841046707187"/>
        </c:manualLayout>
      </c:layout>
      <c:barChart>
        <c:barDir val="col"/>
        <c:grouping val="percentStacked"/>
        <c:varyColors val="0"/>
        <c:ser>
          <c:idx val="0"/>
          <c:order val="0"/>
          <c:tx>
            <c:strRef>
              <c:f>'Μετάβαση (Θέμα #3)'!$B$35</c:f>
              <c:strCache>
                <c:ptCount val="1"/>
                <c:pt idx="0">
                  <c:v>Σταθερή χρέωση (ανά μετρητή)</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#3)'!$C$22:$G$22</c:f>
              <c:strCache>
                <c:ptCount val="5"/>
                <c:pt idx="0">
                  <c:v>Τρέχουσα μεθοδολογία</c:v>
                </c:pt>
                <c:pt idx="1">
                  <c:v>Έτος 1</c:v>
                </c:pt>
                <c:pt idx="2">
                  <c:v>Έτος 2</c:v>
                </c:pt>
                <c:pt idx="3">
                  <c:v>Έτος 3</c:v>
                </c:pt>
                <c:pt idx="4">
                  <c:v>Έτος 4</c:v>
                </c:pt>
              </c:strCache>
            </c:strRef>
          </c:cat>
          <c:val>
            <c:numRef>
              <c:f>'Μετάβαση (Θέμα #3)'!$C$35:$G$35</c:f>
              <c:numCache>
                <c:formatCode>0.0%</c:formatCode>
                <c:ptCount val="5"/>
                <c:pt idx="0">
                  <c:v>0</c:v>
                </c:pt>
                <c:pt idx="1">
                  <c:v>1.8574177241462746E-2</c:v>
                </c:pt>
                <c:pt idx="2">
                  <c:v>3.7148354482925493E-2</c:v>
                </c:pt>
                <c:pt idx="3">
                  <c:v>7.4296708965850985E-2</c:v>
                </c:pt>
                <c:pt idx="4">
                  <c:v>7.4296708965850985E-2</c:v>
                </c:pt>
              </c:numCache>
            </c:numRef>
          </c:val>
          <c:extLst>
            <c:ext xmlns:c16="http://schemas.microsoft.com/office/drawing/2014/chart" uri="{C3380CC4-5D6E-409C-BE32-E72D297353CC}">
              <c16:uniqueId val="{00000000-F4ED-4402-B8DE-D47BC2350A0E}"/>
            </c:ext>
          </c:extLst>
        </c:ser>
        <c:ser>
          <c:idx val="1"/>
          <c:order val="1"/>
          <c:tx>
            <c:strRef>
              <c:f>'Μετάβαση (Θέμα #3)'!$B$36</c:f>
              <c:strCache>
                <c:ptCount val="1"/>
                <c:pt idx="0">
                  <c:v>Πάγια χρέωση (βάσει Συμφωνημένης Ισχύος)</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#3)'!$C$22:$G$22</c:f>
              <c:strCache>
                <c:ptCount val="5"/>
                <c:pt idx="0">
                  <c:v>Τρέχουσα μεθοδολογία</c:v>
                </c:pt>
                <c:pt idx="1">
                  <c:v>Έτος 1</c:v>
                </c:pt>
                <c:pt idx="2">
                  <c:v>Έτος 2</c:v>
                </c:pt>
                <c:pt idx="3">
                  <c:v>Έτος 3</c:v>
                </c:pt>
                <c:pt idx="4">
                  <c:v>Έτος 4</c:v>
                </c:pt>
              </c:strCache>
            </c:strRef>
          </c:cat>
          <c:val>
            <c:numRef>
              <c:f>'Μετάβαση (Θέμα #3)'!$C$36:$G$36</c:f>
              <c:numCache>
                <c:formatCode>0.0%</c:formatCode>
                <c:ptCount val="5"/>
                <c:pt idx="0">
                  <c:v>0.12971047887917198</c:v>
                </c:pt>
                <c:pt idx="1">
                  <c:v>0.24620759604850972</c:v>
                </c:pt>
                <c:pt idx="2">
                  <c:v>0.38546141184708244</c:v>
                </c:pt>
                <c:pt idx="3">
                  <c:v>0.6639690434442278</c:v>
                </c:pt>
                <c:pt idx="4">
                  <c:v>0.6639690434442278</c:v>
                </c:pt>
              </c:numCache>
            </c:numRef>
          </c:val>
          <c:extLst>
            <c:ext xmlns:c16="http://schemas.microsoft.com/office/drawing/2014/chart" uri="{C3380CC4-5D6E-409C-BE32-E72D297353CC}">
              <c16:uniqueId val="{00000001-F4ED-4402-B8DE-D47BC2350A0E}"/>
            </c:ext>
          </c:extLst>
        </c:ser>
        <c:ser>
          <c:idx val="2"/>
          <c:order val="2"/>
          <c:tx>
            <c:strRef>
              <c:f>'Μετάβαση (Θέμα #3)'!$B$37</c:f>
              <c:strCache>
                <c:ptCount val="1"/>
                <c:pt idx="0">
                  <c:v>Πάγια χρέωση (βάσει Μέσου Φορτίου Αιχμής)</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#3)'!$C$22:$G$22</c:f>
              <c:strCache>
                <c:ptCount val="5"/>
                <c:pt idx="0">
                  <c:v>Τρέχουσα μεθοδολογία</c:v>
                </c:pt>
                <c:pt idx="1">
                  <c:v>Έτος 1</c:v>
                </c:pt>
                <c:pt idx="2">
                  <c:v>Έτος 2</c:v>
                </c:pt>
                <c:pt idx="3">
                  <c:v>Έτος 3</c:v>
                </c:pt>
                <c:pt idx="4">
                  <c:v>Έτος 4</c:v>
                </c:pt>
              </c:strCache>
            </c:strRef>
          </c:cat>
          <c:val>
            <c:numRef>
              <c:f>'Μετάβαση (Θέμα #3)'!$C$37:$G$37</c:f>
              <c:numCache>
                <c:formatCode>0.0%</c:formatCode>
                <c:ptCount val="5"/>
                <c:pt idx="0">
                  <c:v>4.4037111395778782E-2</c:v>
                </c:pt>
                <c:pt idx="1">
                  <c:v>9.0528919416240514E-2</c:v>
                </c:pt>
                <c:pt idx="2">
                  <c:v>0.11426402880746735</c:v>
                </c:pt>
                <c:pt idx="3">
                  <c:v>0.16173424758992103</c:v>
                </c:pt>
                <c:pt idx="4">
                  <c:v>0.16173424758992103</c:v>
                </c:pt>
              </c:numCache>
            </c:numRef>
          </c:val>
          <c:extLst>
            <c:ext xmlns:c16="http://schemas.microsoft.com/office/drawing/2014/chart" uri="{C3380CC4-5D6E-409C-BE32-E72D297353CC}">
              <c16:uniqueId val="{00000002-F4ED-4402-B8DE-D47BC2350A0E}"/>
            </c:ext>
          </c:extLst>
        </c:ser>
        <c:ser>
          <c:idx val="3"/>
          <c:order val="3"/>
          <c:tx>
            <c:strRef>
              <c:f>'Μετάβαση (Θέμα #3)'!$B$38</c:f>
              <c:strCache>
                <c:ptCount val="1"/>
                <c:pt idx="0">
                  <c:v>Μεταβλητή χρέωση (βάσει ενέργειας)</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#3)'!$C$22:$G$22</c:f>
              <c:strCache>
                <c:ptCount val="5"/>
                <c:pt idx="0">
                  <c:v>Τρέχουσα μεθοδολογία</c:v>
                </c:pt>
                <c:pt idx="1">
                  <c:v>Έτος 1</c:v>
                </c:pt>
                <c:pt idx="2">
                  <c:v>Έτος 2</c:v>
                </c:pt>
                <c:pt idx="3">
                  <c:v>Έτος 3</c:v>
                </c:pt>
                <c:pt idx="4">
                  <c:v>Έτος 4</c:v>
                </c:pt>
              </c:strCache>
            </c:strRef>
          </c:cat>
          <c:val>
            <c:numRef>
              <c:f>'Μετάβαση (Θέμα #3)'!$C$38:$G$38</c:f>
              <c:numCache>
                <c:formatCode>0.0%</c:formatCode>
                <c:ptCount val="5"/>
                <c:pt idx="0">
                  <c:v>0.82625240972504921</c:v>
                </c:pt>
                <c:pt idx="1">
                  <c:v>0.64468930729378682</c:v>
                </c:pt>
                <c:pt idx="2">
                  <c:v>0.46312620486252459</c:v>
                </c:pt>
                <c:pt idx="3">
                  <c:v>0.10000000000000003</c:v>
                </c:pt>
                <c:pt idx="4">
                  <c:v>0.10000000000000003</c:v>
                </c:pt>
              </c:numCache>
            </c:numRef>
          </c:val>
          <c:extLst>
            <c:ext xmlns:c16="http://schemas.microsoft.com/office/drawing/2014/chart" uri="{C3380CC4-5D6E-409C-BE32-E72D297353CC}">
              <c16:uniqueId val="{00000003-F4ED-4402-B8DE-D47BC2350A0E}"/>
            </c:ext>
          </c:extLst>
        </c:ser>
        <c:dLbls>
          <c:showLegendKey val="0"/>
          <c:showVal val="1"/>
          <c:showCatName val="0"/>
          <c:showSerName val="0"/>
          <c:showPercent val="0"/>
          <c:showBubbleSize val="0"/>
        </c:dLbls>
        <c:gapWidth val="219"/>
        <c:overlap val="100"/>
        <c:axId val="390899328"/>
        <c:axId val="390900112"/>
      </c:barChart>
      <c:catAx>
        <c:axId val="39089932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390900112"/>
        <c:crosses val="autoZero"/>
        <c:auto val="1"/>
        <c:lblAlgn val="ctr"/>
        <c:lblOffset val="100"/>
        <c:noMultiLvlLbl val="0"/>
      </c:catAx>
      <c:valAx>
        <c:axId val="39090011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899328"/>
        <c:crosses val="autoZero"/>
        <c:crossBetween val="between"/>
        <c:majorUnit val="0.2"/>
      </c:valAx>
      <c:spPr>
        <a:noFill/>
        <a:ln>
          <a:noFill/>
        </a:ln>
        <a:effectLst/>
      </c:spPr>
    </c:plotArea>
    <c:legend>
      <c:legendPos val="b"/>
      <c:layout>
        <c:manualLayout>
          <c:xMode val="edge"/>
          <c:yMode val="edge"/>
          <c:x val="0.14132430027443152"/>
          <c:y val="0.85474399103412335"/>
          <c:w val="0.75362421577644678"/>
          <c:h val="0.119445284501229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l-GR" b="1"/>
              <a:t>Διαδικασία μετάβασης</a:t>
            </a:r>
            <a:r>
              <a:rPr lang="el-GR" b="1" baseline="0"/>
              <a:t> - Μοναδιαίες Χρεώσεις</a:t>
            </a:r>
          </a:p>
          <a:p>
            <a:pPr>
              <a:defRPr b="1"/>
            </a:pPr>
            <a:r>
              <a:rPr lang="el-GR" b="1"/>
              <a:t>Σταθερή χρέωση ανά μετρητή (€/μετρητή/έτος)</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6428984351639584E-2"/>
          <c:y val="0.27734463276836158"/>
          <c:w val="0.90500561480447839"/>
          <c:h val="0.66050847457627115"/>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#3)'!$C$63:$C$71</c:f>
              <c:numCache>
                <c:formatCode>#,##0.00</c:formatCode>
                <c:ptCount val="9"/>
              </c:numCache>
            </c:numRef>
          </c:val>
          <c:extLst>
            <c:ext xmlns:c16="http://schemas.microsoft.com/office/drawing/2014/chart" uri="{C3380CC4-5D6E-409C-BE32-E72D297353CC}">
              <c16:uniqueId val="{00000000-D884-49E4-8B07-4E6A42694124}"/>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#3)'!$D$63:$D$71</c:f>
              <c:numCache>
                <c:formatCode>#,##0.00</c:formatCode>
                <c:ptCount val="9"/>
                <c:pt idx="0">
                  <c:v>1.7494294585387955</c:v>
                </c:pt>
                <c:pt idx="1">
                  <c:v>1.7494294585387953</c:v>
                </c:pt>
                <c:pt idx="2">
                  <c:v>1.7494294585387953</c:v>
                </c:pt>
                <c:pt idx="3">
                  <c:v>1.7494294585387955</c:v>
                </c:pt>
                <c:pt idx="4">
                  <c:v>1.7494294585387955</c:v>
                </c:pt>
                <c:pt idx="5">
                  <c:v>1.7494294585387955</c:v>
                </c:pt>
                <c:pt idx="6">
                  <c:v>1.7494294585387955</c:v>
                </c:pt>
                <c:pt idx="7">
                  <c:v>61.153342085777965</c:v>
                </c:pt>
                <c:pt idx="8">
                  <c:v>61.153342085777972</c:v>
                </c:pt>
              </c:numCache>
            </c:numRef>
          </c:val>
          <c:extLst>
            <c:ext xmlns:c16="http://schemas.microsoft.com/office/drawing/2014/chart" uri="{C3380CC4-5D6E-409C-BE32-E72D297353CC}">
              <c16:uniqueId val="{00000001-D884-49E4-8B07-4E6A42694124}"/>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#3)'!$E$63:$E$71</c:f>
              <c:numCache>
                <c:formatCode>#,##0.00</c:formatCode>
                <c:ptCount val="9"/>
                <c:pt idx="0">
                  <c:v>3.498858917077591</c:v>
                </c:pt>
                <c:pt idx="1">
                  <c:v>3.4988589170775906</c:v>
                </c:pt>
                <c:pt idx="2">
                  <c:v>3.4988589170775906</c:v>
                </c:pt>
                <c:pt idx="3">
                  <c:v>3.498858917077591</c:v>
                </c:pt>
                <c:pt idx="4">
                  <c:v>3.498858917077591</c:v>
                </c:pt>
                <c:pt idx="5">
                  <c:v>3.498858917077591</c:v>
                </c:pt>
                <c:pt idx="6">
                  <c:v>3.498858917077591</c:v>
                </c:pt>
                <c:pt idx="7">
                  <c:v>122.30668417155593</c:v>
                </c:pt>
                <c:pt idx="8">
                  <c:v>122.30668417155594</c:v>
                </c:pt>
              </c:numCache>
            </c:numRef>
          </c:val>
          <c:extLst>
            <c:ext xmlns:c16="http://schemas.microsoft.com/office/drawing/2014/chart" uri="{C3380CC4-5D6E-409C-BE32-E72D297353CC}">
              <c16:uniqueId val="{00000002-D884-49E4-8B07-4E6A42694124}"/>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#3)'!$F$63:$F$71</c:f>
              <c:numCache>
                <c:formatCode>#,##0.00</c:formatCode>
                <c:ptCount val="9"/>
                <c:pt idx="0">
                  <c:v>6.997717834155182</c:v>
                </c:pt>
                <c:pt idx="1">
                  <c:v>6.9977178341551811</c:v>
                </c:pt>
                <c:pt idx="2">
                  <c:v>6.9977178341551811</c:v>
                </c:pt>
                <c:pt idx="3">
                  <c:v>6.997717834155182</c:v>
                </c:pt>
                <c:pt idx="4">
                  <c:v>6.997717834155182</c:v>
                </c:pt>
                <c:pt idx="5">
                  <c:v>6.997717834155182</c:v>
                </c:pt>
                <c:pt idx="6">
                  <c:v>6.997717834155182</c:v>
                </c:pt>
                <c:pt idx="7">
                  <c:v>244.61336834311186</c:v>
                </c:pt>
                <c:pt idx="8">
                  <c:v>244.61336834311189</c:v>
                </c:pt>
              </c:numCache>
            </c:numRef>
          </c:val>
          <c:extLst>
            <c:ext xmlns:c16="http://schemas.microsoft.com/office/drawing/2014/chart" uri="{C3380CC4-5D6E-409C-BE32-E72D297353CC}">
              <c16:uniqueId val="{00000003-D884-49E4-8B07-4E6A42694124}"/>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#3)'!$G$63:$G$71</c:f>
              <c:numCache>
                <c:formatCode>#,##0.00</c:formatCode>
                <c:ptCount val="9"/>
                <c:pt idx="0">
                  <c:v>6.997717834155182</c:v>
                </c:pt>
                <c:pt idx="1">
                  <c:v>6.9977178341551811</c:v>
                </c:pt>
                <c:pt idx="2">
                  <c:v>6.9977178341551811</c:v>
                </c:pt>
                <c:pt idx="3">
                  <c:v>6.997717834155182</c:v>
                </c:pt>
                <c:pt idx="4">
                  <c:v>6.997717834155182</c:v>
                </c:pt>
                <c:pt idx="5">
                  <c:v>6.997717834155182</c:v>
                </c:pt>
                <c:pt idx="6">
                  <c:v>6.997717834155182</c:v>
                </c:pt>
                <c:pt idx="7">
                  <c:v>244.61336834311186</c:v>
                </c:pt>
                <c:pt idx="8">
                  <c:v>244.61336834311189</c:v>
                </c:pt>
              </c:numCache>
            </c:numRef>
          </c:val>
          <c:extLst xmlns:c15="http://schemas.microsoft.com/office/drawing/2012/chart">
            <c:ext xmlns:c16="http://schemas.microsoft.com/office/drawing/2014/chart" uri="{C3380CC4-5D6E-409C-BE32-E72D297353CC}">
              <c16:uniqueId val="{00000004-D884-49E4-8B07-4E6A42694124}"/>
            </c:ext>
          </c:extLst>
        </c:ser>
        <c:dLbls>
          <c:dLblPos val="outEnd"/>
          <c:showLegendKey val="0"/>
          <c:showVal val="1"/>
          <c:showCatName val="0"/>
          <c:showSerName val="0"/>
          <c:showPercent val="0"/>
          <c:showBubbleSize val="0"/>
        </c:dLbls>
        <c:gapWidth val="219"/>
        <c:overlap val="-27"/>
        <c:axId val="390899328"/>
        <c:axId val="390900112"/>
        <c:extLst/>
      </c:barChart>
      <c:catAx>
        <c:axId val="39089932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390900112"/>
        <c:crosses val="autoZero"/>
        <c:auto val="1"/>
        <c:lblAlgn val="ctr"/>
        <c:lblOffset val="100"/>
        <c:noMultiLvlLbl val="0"/>
      </c:catAx>
      <c:valAx>
        <c:axId val="390900112"/>
        <c:scaling>
          <c:orientation val="minMax"/>
          <c:max val="320"/>
          <c:min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899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16748064719757E-2"/>
          <c:y val="5.5757575757575756E-2"/>
          <c:w val="0.90331785109139839"/>
          <c:h val="0.42043884514435698"/>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#3)'!$C$63:$C$71</c:f>
              <c:numCache>
                <c:formatCode>#,##0.00</c:formatCode>
                <c:ptCount val="9"/>
              </c:numCache>
            </c:numRef>
          </c:val>
          <c:extLst>
            <c:ext xmlns:c16="http://schemas.microsoft.com/office/drawing/2014/chart" uri="{C3380CC4-5D6E-409C-BE32-E72D297353CC}">
              <c16:uniqueId val="{00000000-205A-4C3B-974A-D9233E672AED}"/>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#3)'!$D$63:$D$71</c:f>
              <c:numCache>
                <c:formatCode>#,##0.00</c:formatCode>
                <c:ptCount val="9"/>
                <c:pt idx="0">
                  <c:v>1.7494294585387955</c:v>
                </c:pt>
                <c:pt idx="1">
                  <c:v>1.7494294585387953</c:v>
                </c:pt>
                <c:pt idx="2">
                  <c:v>1.7494294585387953</c:v>
                </c:pt>
                <c:pt idx="3">
                  <c:v>1.7494294585387955</c:v>
                </c:pt>
                <c:pt idx="4">
                  <c:v>1.7494294585387955</c:v>
                </c:pt>
                <c:pt idx="5">
                  <c:v>1.7494294585387955</c:v>
                </c:pt>
                <c:pt idx="6">
                  <c:v>1.7494294585387955</c:v>
                </c:pt>
                <c:pt idx="7">
                  <c:v>61.153342085777965</c:v>
                </c:pt>
                <c:pt idx="8">
                  <c:v>61.153342085777972</c:v>
                </c:pt>
              </c:numCache>
            </c:numRef>
          </c:val>
          <c:extLst>
            <c:ext xmlns:c16="http://schemas.microsoft.com/office/drawing/2014/chart" uri="{C3380CC4-5D6E-409C-BE32-E72D297353CC}">
              <c16:uniqueId val="{00000001-205A-4C3B-974A-D9233E672AED}"/>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#3)'!$E$63:$E$71</c:f>
              <c:numCache>
                <c:formatCode>#,##0.00</c:formatCode>
                <c:ptCount val="9"/>
                <c:pt idx="0">
                  <c:v>3.498858917077591</c:v>
                </c:pt>
                <c:pt idx="1">
                  <c:v>3.4988589170775906</c:v>
                </c:pt>
                <c:pt idx="2">
                  <c:v>3.4988589170775906</c:v>
                </c:pt>
                <c:pt idx="3">
                  <c:v>3.498858917077591</c:v>
                </c:pt>
                <c:pt idx="4">
                  <c:v>3.498858917077591</c:v>
                </c:pt>
                <c:pt idx="5">
                  <c:v>3.498858917077591</c:v>
                </c:pt>
                <c:pt idx="6">
                  <c:v>3.498858917077591</c:v>
                </c:pt>
                <c:pt idx="7">
                  <c:v>122.30668417155593</c:v>
                </c:pt>
                <c:pt idx="8">
                  <c:v>122.30668417155594</c:v>
                </c:pt>
              </c:numCache>
            </c:numRef>
          </c:val>
          <c:extLst>
            <c:ext xmlns:c16="http://schemas.microsoft.com/office/drawing/2014/chart" uri="{C3380CC4-5D6E-409C-BE32-E72D297353CC}">
              <c16:uniqueId val="{00000002-205A-4C3B-974A-D9233E672AED}"/>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#3)'!$F$63:$F$71</c:f>
              <c:numCache>
                <c:formatCode>#,##0.00</c:formatCode>
                <c:ptCount val="9"/>
                <c:pt idx="0">
                  <c:v>6.997717834155182</c:v>
                </c:pt>
                <c:pt idx="1">
                  <c:v>6.9977178341551811</c:v>
                </c:pt>
                <c:pt idx="2">
                  <c:v>6.9977178341551811</c:v>
                </c:pt>
                <c:pt idx="3">
                  <c:v>6.997717834155182</c:v>
                </c:pt>
                <c:pt idx="4">
                  <c:v>6.997717834155182</c:v>
                </c:pt>
                <c:pt idx="5">
                  <c:v>6.997717834155182</c:v>
                </c:pt>
                <c:pt idx="6">
                  <c:v>6.997717834155182</c:v>
                </c:pt>
                <c:pt idx="7">
                  <c:v>244.61336834311186</c:v>
                </c:pt>
                <c:pt idx="8">
                  <c:v>244.61336834311189</c:v>
                </c:pt>
              </c:numCache>
            </c:numRef>
          </c:val>
          <c:extLst>
            <c:ext xmlns:c16="http://schemas.microsoft.com/office/drawing/2014/chart" uri="{C3380CC4-5D6E-409C-BE32-E72D297353CC}">
              <c16:uniqueId val="{00000003-205A-4C3B-974A-D9233E672AED}"/>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#3)'!$B$63:$B$71</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#3)'!$G$63:$G$71</c:f>
              <c:numCache>
                <c:formatCode>#,##0.00</c:formatCode>
                <c:ptCount val="9"/>
                <c:pt idx="0">
                  <c:v>6.997717834155182</c:v>
                </c:pt>
                <c:pt idx="1">
                  <c:v>6.9977178341551811</c:v>
                </c:pt>
                <c:pt idx="2">
                  <c:v>6.9977178341551811</c:v>
                </c:pt>
                <c:pt idx="3">
                  <c:v>6.997717834155182</c:v>
                </c:pt>
                <c:pt idx="4">
                  <c:v>6.997717834155182</c:v>
                </c:pt>
                <c:pt idx="5">
                  <c:v>6.997717834155182</c:v>
                </c:pt>
                <c:pt idx="6">
                  <c:v>6.997717834155182</c:v>
                </c:pt>
                <c:pt idx="7">
                  <c:v>244.61336834311186</c:v>
                </c:pt>
                <c:pt idx="8">
                  <c:v>244.61336834311189</c:v>
                </c:pt>
              </c:numCache>
            </c:numRef>
          </c:val>
          <c:extLst xmlns:c15="http://schemas.microsoft.com/office/drawing/2012/chart">
            <c:ext xmlns:c16="http://schemas.microsoft.com/office/drawing/2014/chart" uri="{C3380CC4-5D6E-409C-BE32-E72D297353CC}">
              <c16:uniqueId val="{00000004-205A-4C3B-974A-D9233E672AED}"/>
            </c:ext>
          </c:extLst>
        </c:ser>
        <c:dLbls>
          <c:dLblPos val="outEnd"/>
          <c:showLegendKey val="0"/>
          <c:showVal val="1"/>
          <c:showCatName val="0"/>
          <c:showSerName val="0"/>
          <c:showPercent val="0"/>
          <c:showBubbleSize val="0"/>
        </c:dLbls>
        <c:gapWidth val="219"/>
        <c:overlap val="-27"/>
        <c:axId val="390901288"/>
        <c:axId val="390902072"/>
        <c:extLst/>
      </c:barChart>
      <c:catAx>
        <c:axId val="390901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390902072"/>
        <c:crosses val="autoZero"/>
        <c:auto val="1"/>
        <c:lblAlgn val="ctr"/>
        <c:lblOffset val="100"/>
        <c:noMultiLvlLbl val="0"/>
      </c:catAx>
      <c:valAx>
        <c:axId val="390902072"/>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 / μετρητή</a:t>
                </a:r>
                <a:r>
                  <a:rPr lang="el-GR" b="1" baseline="0"/>
                  <a:t> / έτος</a:t>
                </a:r>
                <a:r>
                  <a:rPr lang="el-GR" b="1"/>
                  <a:t>)</a:t>
                </a:r>
                <a:endParaRPr lang="en-GB" b="1"/>
              </a:p>
            </c:rich>
          </c:tx>
          <c:layout>
            <c:manualLayout>
              <c:xMode val="edge"/>
              <c:yMode val="edge"/>
              <c:x val="1.5198245788896642E-2"/>
              <c:y val="5.3467907420663326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901288"/>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400" b="1" i="0" baseline="0">
                <a:effectLst/>
              </a:rPr>
              <a:t>Διαδικασία μετάβασης - Μοναδιαίες Χρεώσεις</a:t>
            </a:r>
            <a:endParaRPr lang="el-GR" sz="1400">
              <a:effectLst/>
            </a:endParaRPr>
          </a:p>
          <a:p>
            <a:pPr>
              <a:defRPr/>
            </a:pPr>
            <a:r>
              <a:rPr lang="el-GR" sz="1400" b="1" i="0" baseline="0">
                <a:effectLst/>
              </a:rPr>
              <a:t>Μεταβλητή χρέωση (</a:t>
            </a:r>
            <a:r>
              <a:rPr lang="en-US" sz="1400" b="1" i="0" baseline="0">
                <a:effectLst/>
              </a:rPr>
              <a:t>c</a:t>
            </a:r>
            <a:r>
              <a:rPr lang="el-GR" sz="1400" b="1" i="0" baseline="0">
                <a:effectLst/>
              </a:rPr>
              <a:t>€/</a:t>
            </a:r>
            <a:r>
              <a:rPr lang="en-US" sz="1400" b="1" i="0" baseline="0">
                <a:effectLst/>
              </a:rPr>
              <a:t>kWh</a:t>
            </a:r>
            <a:r>
              <a:rPr lang="el-GR" sz="1400" b="1" i="0" baseline="0">
                <a:effectLst/>
              </a:rPr>
              <a:t>)</a:t>
            </a:r>
            <a:endParaRPr lang="el-GR"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4753401896513277E-2"/>
          <c:y val="0.15361103263028159"/>
          <c:w val="0.90331785109139839"/>
          <c:h val="0.37357753837712565"/>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#3)'!$B$85:$B$93</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#3)'!$C$85:$C$93</c:f>
              <c:numCache>
                <c:formatCode>#,##0.000</c:formatCode>
                <c:ptCount val="9"/>
                <c:pt idx="0">
                  <c:v>0</c:v>
                </c:pt>
                <c:pt idx="1">
                  <c:v>1.7741879980485709</c:v>
                </c:pt>
                <c:pt idx="2">
                  <c:v>1.7741879980485706</c:v>
                </c:pt>
                <c:pt idx="3">
                  <c:v>1.7741879980485702</c:v>
                </c:pt>
                <c:pt idx="4">
                  <c:v>1.9959614978046414</c:v>
                </c:pt>
                <c:pt idx="5">
                  <c:v>0</c:v>
                </c:pt>
                <c:pt idx="6">
                  <c:v>1.6969061015917912</c:v>
                </c:pt>
                <c:pt idx="7">
                  <c:v>0</c:v>
                </c:pt>
                <c:pt idx="8">
                  <c:v>0.29771596560727043</c:v>
                </c:pt>
              </c:numCache>
            </c:numRef>
          </c:val>
          <c:extLst>
            <c:ext xmlns:c16="http://schemas.microsoft.com/office/drawing/2014/chart" uri="{C3380CC4-5D6E-409C-BE32-E72D297353CC}">
              <c16:uniqueId val="{00000000-FBBB-46E5-841D-B391479730F7}"/>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#3)'!$B$85:$B$93</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#3)'!$D$85:$D$93</c:f>
              <c:numCache>
                <c:formatCode>#,##0.000</c:formatCode>
                <c:ptCount val="9"/>
                <c:pt idx="0">
                  <c:v>0</c:v>
                </c:pt>
                <c:pt idx="1">
                  <c:v>1.383995125222494</c:v>
                </c:pt>
                <c:pt idx="2">
                  <c:v>1.383995125222494</c:v>
                </c:pt>
                <c:pt idx="3">
                  <c:v>1.3839951252224936</c:v>
                </c:pt>
                <c:pt idx="4">
                  <c:v>1.550325250039547</c:v>
                </c:pt>
                <c:pt idx="5">
                  <c:v>0</c:v>
                </c:pt>
                <c:pt idx="6">
                  <c:v>1.3237096492290958</c:v>
                </c:pt>
                <c:pt idx="7">
                  <c:v>0</c:v>
                </c:pt>
                <c:pt idx="8">
                  <c:v>0.24398072679345206</c:v>
                </c:pt>
              </c:numCache>
            </c:numRef>
          </c:val>
          <c:extLst>
            <c:ext xmlns:c16="http://schemas.microsoft.com/office/drawing/2014/chart" uri="{C3380CC4-5D6E-409C-BE32-E72D297353CC}">
              <c16:uniqueId val="{00000001-FBBB-46E5-841D-B391479730F7}"/>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#3)'!$B$85:$B$93</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#3)'!$E$85:$E$93</c:f>
              <c:numCache>
                <c:formatCode>#,##0.000</c:formatCode>
                <c:ptCount val="9"/>
                <c:pt idx="0">
                  <c:v>0</c:v>
                </c:pt>
                <c:pt idx="1">
                  <c:v>0.99380225239641728</c:v>
                </c:pt>
                <c:pt idx="2">
                  <c:v>0.99380225239641717</c:v>
                </c:pt>
                <c:pt idx="3">
                  <c:v>0.99380225239641695</c:v>
                </c:pt>
                <c:pt idx="4">
                  <c:v>1.1046890022744527</c:v>
                </c:pt>
                <c:pt idx="5">
                  <c:v>0</c:v>
                </c:pt>
                <c:pt idx="6">
                  <c:v>0.95051319686640023</c:v>
                </c:pt>
                <c:pt idx="7">
                  <c:v>0</c:v>
                </c:pt>
                <c:pt idx="8">
                  <c:v>0.19024548797963367</c:v>
                </c:pt>
              </c:numCache>
            </c:numRef>
          </c:val>
          <c:extLst>
            <c:ext xmlns:c16="http://schemas.microsoft.com/office/drawing/2014/chart" uri="{C3380CC4-5D6E-409C-BE32-E72D297353CC}">
              <c16:uniqueId val="{00000002-FBBB-46E5-841D-B391479730F7}"/>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#3)'!$B$85:$B$93</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#3)'!$F$85:$F$93</c:f>
              <c:numCache>
                <c:formatCode>#,##0.000</c:formatCode>
                <c:ptCount val="9"/>
                <c:pt idx="0">
                  <c:v>0</c:v>
                </c:pt>
                <c:pt idx="1">
                  <c:v>0.21341650674426371</c:v>
                </c:pt>
                <c:pt idx="2">
                  <c:v>0.21341650674426371</c:v>
                </c:pt>
                <c:pt idx="3">
                  <c:v>0.21341650674426371</c:v>
                </c:pt>
                <c:pt idx="4">
                  <c:v>0.21341650674426371</c:v>
                </c:pt>
                <c:pt idx="5">
                  <c:v>0</c:v>
                </c:pt>
                <c:pt idx="6">
                  <c:v>0.20412029214100935</c:v>
                </c:pt>
                <c:pt idx="7">
                  <c:v>0</c:v>
                </c:pt>
                <c:pt idx="8">
                  <c:v>8.2775010351996914E-2</c:v>
                </c:pt>
              </c:numCache>
            </c:numRef>
          </c:val>
          <c:extLst>
            <c:ext xmlns:c16="http://schemas.microsoft.com/office/drawing/2014/chart" uri="{C3380CC4-5D6E-409C-BE32-E72D297353CC}">
              <c16:uniqueId val="{00000003-FBBB-46E5-841D-B391479730F7}"/>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#3)'!$B$85:$B$93</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#3)'!$G$85:$G$93</c:f>
              <c:numCache>
                <c:formatCode>#,##0.000</c:formatCode>
                <c:ptCount val="9"/>
                <c:pt idx="0">
                  <c:v>0</c:v>
                </c:pt>
                <c:pt idx="1">
                  <c:v>0.21341650674426371</c:v>
                </c:pt>
                <c:pt idx="2">
                  <c:v>0.21341650674426371</c:v>
                </c:pt>
                <c:pt idx="3">
                  <c:v>0.21341650674426371</c:v>
                </c:pt>
                <c:pt idx="4">
                  <c:v>0.21341650674426371</c:v>
                </c:pt>
                <c:pt idx="5">
                  <c:v>0</c:v>
                </c:pt>
                <c:pt idx="6">
                  <c:v>0.20412029214100935</c:v>
                </c:pt>
                <c:pt idx="7">
                  <c:v>0</c:v>
                </c:pt>
                <c:pt idx="8">
                  <c:v>8.2775010351996914E-2</c:v>
                </c:pt>
              </c:numCache>
            </c:numRef>
          </c:val>
          <c:extLst xmlns:c15="http://schemas.microsoft.com/office/drawing/2012/chart">
            <c:ext xmlns:c16="http://schemas.microsoft.com/office/drawing/2014/chart" uri="{C3380CC4-5D6E-409C-BE32-E72D297353CC}">
              <c16:uniqueId val="{00000004-FBBB-46E5-841D-B391479730F7}"/>
            </c:ext>
          </c:extLst>
        </c:ser>
        <c:dLbls>
          <c:dLblPos val="outEnd"/>
          <c:showLegendKey val="0"/>
          <c:showVal val="1"/>
          <c:showCatName val="0"/>
          <c:showSerName val="0"/>
          <c:showPercent val="0"/>
          <c:showBubbleSize val="0"/>
        </c:dLbls>
        <c:gapWidth val="219"/>
        <c:overlap val="-27"/>
        <c:axId val="390901288"/>
        <c:axId val="390902072"/>
        <c:extLst/>
      </c:barChart>
      <c:catAx>
        <c:axId val="390901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390902072"/>
        <c:crosses val="autoZero"/>
        <c:auto val="1"/>
        <c:lblAlgn val="ctr"/>
        <c:lblOffset val="100"/>
        <c:noMultiLvlLbl val="0"/>
      </c:catAx>
      <c:valAx>
        <c:axId val="390902072"/>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a:t>
                </a:r>
                <a:r>
                  <a:rPr lang="en-US" b="1"/>
                  <a:t>c</a:t>
                </a:r>
                <a:r>
                  <a:rPr lang="el-GR" b="1"/>
                  <a:t>€ / </a:t>
                </a:r>
                <a:r>
                  <a:rPr lang="en-US" b="1"/>
                  <a:t>kWh</a:t>
                </a:r>
                <a:r>
                  <a:rPr lang="el-GR" b="1"/>
                  <a:t>)</a:t>
                </a:r>
                <a:endParaRPr lang="en-GB" b="1"/>
              </a:p>
            </c:rich>
          </c:tx>
          <c:layout>
            <c:manualLayout>
              <c:xMode val="edge"/>
              <c:yMode val="edge"/>
              <c:x val="1.1834934594497535E-2"/>
              <c:y val="0.1536945635305727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901288"/>
        <c:crosses val="autoZero"/>
        <c:crossBetween val="between"/>
        <c:maj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400" b="1" i="0" baseline="0">
                <a:effectLst/>
              </a:rPr>
              <a:t>Διαδικασία μετάβασης - Μοναδιαίες Χρεώσεις</a:t>
            </a:r>
            <a:endParaRPr lang="el-GR" sz="1400">
              <a:effectLst/>
            </a:endParaRPr>
          </a:p>
          <a:p>
            <a:pPr>
              <a:defRPr/>
            </a:pPr>
            <a:r>
              <a:rPr lang="el-GR" sz="1400" b="1" i="0" baseline="0">
                <a:effectLst/>
              </a:rPr>
              <a:t>Πάγια χρέωση βάσει Συμφωνημένης Ισχύος (€/</a:t>
            </a:r>
            <a:r>
              <a:rPr lang="en-US" sz="1400" b="1" i="0" baseline="0">
                <a:effectLst/>
              </a:rPr>
              <a:t>kVA/</a:t>
            </a:r>
            <a:r>
              <a:rPr lang="el-GR" sz="1400" b="1" i="0" baseline="0">
                <a:effectLst/>
              </a:rPr>
              <a:t>έτος)</a:t>
            </a:r>
            <a:endParaRPr lang="el-GR"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4753401896513277E-2"/>
          <c:y val="0.15361103263028159"/>
          <c:w val="0.90331785109139839"/>
          <c:h val="0.37357753837712565"/>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#3)'!$B$107:$B$115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#3)'!$C$107:$C$115</c:f>
              <c:numCache>
                <c:formatCode>#,##0.00</c:formatCode>
                <c:ptCount val="9"/>
                <c:pt idx="0">
                  <c:v>0</c:v>
                </c:pt>
                <c:pt idx="1">
                  <c:v>1.5568256395839073</c:v>
                </c:pt>
                <c:pt idx="2">
                  <c:v>1.9388499906532186</c:v>
                </c:pt>
                <c:pt idx="3">
                  <c:v>3.1822442069842656</c:v>
                </c:pt>
                <c:pt idx="4">
                  <c:v>0.51705562033326835</c:v>
                </c:pt>
                <c:pt idx="5">
                  <c:v>0</c:v>
                </c:pt>
                <c:pt idx="6">
                  <c:v>3.5065222717504647</c:v>
                </c:pt>
                <c:pt idx="7">
                  <c:v>0</c:v>
                </c:pt>
                <c:pt idx="8">
                  <c:v>0</c:v>
                </c:pt>
              </c:numCache>
            </c:numRef>
          </c:val>
          <c:extLst>
            <c:ext xmlns:c16="http://schemas.microsoft.com/office/drawing/2014/chart" uri="{C3380CC4-5D6E-409C-BE32-E72D297353CC}">
              <c16:uniqueId val="{00000000-3D77-4C51-B9B4-B5CAFEE1DC01}"/>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#3)'!$B$107:$B$115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#3)'!$D$107:$D$115</c:f>
              <c:numCache>
                <c:formatCode>#,##0.00</c:formatCode>
                <c:ptCount val="9"/>
                <c:pt idx="0">
                  <c:v>0</c:v>
                </c:pt>
                <c:pt idx="1">
                  <c:v>2.6471827786363877</c:v>
                </c:pt>
                <c:pt idx="2">
                  <c:v>3.4473454250834479</c:v>
                </c:pt>
                <c:pt idx="3">
                  <c:v>5.3138297686521767</c:v>
                </c:pt>
                <c:pt idx="4">
                  <c:v>1.5101418199619523</c:v>
                </c:pt>
                <c:pt idx="5">
                  <c:v>0</c:v>
                </c:pt>
                <c:pt idx="6">
                  <c:v>0</c:v>
                </c:pt>
                <c:pt idx="7">
                  <c:v>0</c:v>
                </c:pt>
                <c:pt idx="8">
                  <c:v>0</c:v>
                </c:pt>
              </c:numCache>
            </c:numRef>
          </c:val>
          <c:extLst>
            <c:ext xmlns:c16="http://schemas.microsoft.com/office/drawing/2014/chart" uri="{C3380CC4-5D6E-409C-BE32-E72D297353CC}">
              <c16:uniqueId val="{00000001-3D77-4C51-B9B4-B5CAFEE1DC01}"/>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#3)'!$B$107:$B$115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#3)'!$E$107:$E$115</c:f>
              <c:numCache>
                <c:formatCode>#,##0.00</c:formatCode>
                <c:ptCount val="9"/>
                <c:pt idx="0">
                  <c:v>0</c:v>
                </c:pt>
                <c:pt idx="1">
                  <c:v>3.7375399176888684</c:v>
                </c:pt>
                <c:pt idx="2">
                  <c:v>4.9558408595136765</c:v>
                </c:pt>
                <c:pt idx="3">
                  <c:v>7.4454153303200865</c:v>
                </c:pt>
                <c:pt idx="4">
                  <c:v>2.5032280195906362</c:v>
                </c:pt>
                <c:pt idx="5">
                  <c:v>0</c:v>
                </c:pt>
                <c:pt idx="6">
                  <c:v>0</c:v>
                </c:pt>
                <c:pt idx="7">
                  <c:v>0</c:v>
                </c:pt>
                <c:pt idx="8">
                  <c:v>0</c:v>
                </c:pt>
              </c:numCache>
            </c:numRef>
          </c:val>
          <c:extLst>
            <c:ext xmlns:c16="http://schemas.microsoft.com/office/drawing/2014/chart" uri="{C3380CC4-5D6E-409C-BE32-E72D297353CC}">
              <c16:uniqueId val="{00000002-3D77-4C51-B9B4-B5CAFEE1DC01}"/>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#3)'!$B$107:$B$115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#3)'!$F$107:$F$115</c:f>
              <c:numCache>
                <c:formatCode>#,##0.00</c:formatCode>
                <c:ptCount val="9"/>
                <c:pt idx="0">
                  <c:v>0</c:v>
                </c:pt>
                <c:pt idx="1">
                  <c:v>5.9182541957938293</c:v>
                </c:pt>
                <c:pt idx="2">
                  <c:v>7.9728317283741346</c:v>
                </c:pt>
                <c:pt idx="3">
                  <c:v>11.708586453655908</c:v>
                </c:pt>
                <c:pt idx="4">
                  <c:v>4.4894004188480041</c:v>
                </c:pt>
                <c:pt idx="5">
                  <c:v>0</c:v>
                </c:pt>
                <c:pt idx="6">
                  <c:v>0</c:v>
                </c:pt>
                <c:pt idx="7">
                  <c:v>0</c:v>
                </c:pt>
                <c:pt idx="8">
                  <c:v>0</c:v>
                </c:pt>
              </c:numCache>
            </c:numRef>
          </c:val>
          <c:extLst>
            <c:ext xmlns:c16="http://schemas.microsoft.com/office/drawing/2014/chart" uri="{C3380CC4-5D6E-409C-BE32-E72D297353CC}">
              <c16:uniqueId val="{00000003-3D77-4C51-B9B4-B5CAFEE1DC01}"/>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#3)'!$B$107:$B$115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#3)'!$G$107:$G$115</c:f>
              <c:numCache>
                <c:formatCode>#,##0.00</c:formatCode>
                <c:ptCount val="9"/>
                <c:pt idx="0">
                  <c:v>0</c:v>
                </c:pt>
                <c:pt idx="1">
                  <c:v>5.9182541957938293</c:v>
                </c:pt>
                <c:pt idx="2">
                  <c:v>7.9728317283741346</c:v>
                </c:pt>
                <c:pt idx="3">
                  <c:v>11.708586453655908</c:v>
                </c:pt>
                <c:pt idx="4">
                  <c:v>4.4894004188480041</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4-3D77-4C51-B9B4-B5CAFEE1DC01}"/>
            </c:ext>
          </c:extLst>
        </c:ser>
        <c:dLbls>
          <c:dLblPos val="outEnd"/>
          <c:showLegendKey val="0"/>
          <c:showVal val="1"/>
          <c:showCatName val="0"/>
          <c:showSerName val="0"/>
          <c:showPercent val="0"/>
          <c:showBubbleSize val="0"/>
        </c:dLbls>
        <c:gapWidth val="219"/>
        <c:overlap val="-27"/>
        <c:axId val="390901288"/>
        <c:axId val="390902072"/>
        <c:extLst/>
      </c:barChart>
      <c:catAx>
        <c:axId val="390901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390902072"/>
        <c:crosses val="autoZero"/>
        <c:auto val="1"/>
        <c:lblAlgn val="ctr"/>
        <c:lblOffset val="100"/>
        <c:noMultiLvlLbl val="0"/>
      </c:catAx>
      <c:valAx>
        <c:axId val="390902072"/>
        <c:scaling>
          <c:orientation val="minMax"/>
          <c:max val="1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a:t>
                </a:r>
                <a:r>
                  <a:rPr lang="en-US" b="1"/>
                  <a:t>c</a:t>
                </a:r>
                <a:r>
                  <a:rPr lang="el-GR" b="1"/>
                  <a:t>€ / </a:t>
                </a:r>
                <a:r>
                  <a:rPr lang="en-US" b="1"/>
                  <a:t>kVA</a:t>
                </a:r>
                <a:r>
                  <a:rPr lang="en-US" b="1" baseline="0"/>
                  <a:t> / </a:t>
                </a:r>
                <a:r>
                  <a:rPr lang="el-GR" b="1" baseline="0"/>
                  <a:t>έτος</a:t>
                </a:r>
                <a:r>
                  <a:rPr lang="el-GR" b="1"/>
                  <a:t>)</a:t>
                </a:r>
                <a:endParaRPr lang="en-GB" b="1"/>
              </a:p>
            </c:rich>
          </c:tx>
          <c:layout>
            <c:manualLayout>
              <c:xMode val="edge"/>
              <c:yMode val="edge"/>
              <c:x val="1.1834934594497535E-2"/>
              <c:y val="0.1536945635305727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901288"/>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400" b="1" i="0" baseline="0">
                <a:effectLst/>
              </a:rPr>
              <a:t>Διαδικασία μετάβασης - Μοναδιαίες Χρεώσεις</a:t>
            </a:r>
            <a:endParaRPr lang="el-GR" sz="1400">
              <a:effectLst/>
            </a:endParaRPr>
          </a:p>
          <a:p>
            <a:pPr>
              <a:defRPr/>
            </a:pPr>
            <a:r>
              <a:rPr lang="el-GR" sz="1400" b="1" i="0" baseline="0">
                <a:effectLst/>
              </a:rPr>
              <a:t>Πάγια χρέωση βάσει χρέωσης Μέσου Φορτίου Αιχμής (€/</a:t>
            </a:r>
            <a:r>
              <a:rPr lang="en-US" sz="1400" b="1" i="0" baseline="0">
                <a:effectLst/>
              </a:rPr>
              <a:t>kVA/</a:t>
            </a:r>
            <a:r>
              <a:rPr lang="el-GR" sz="1400" b="1" i="0" baseline="0">
                <a:effectLst/>
              </a:rPr>
              <a:t>έτος)</a:t>
            </a:r>
            <a:endParaRPr lang="el-GR"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4753401896513277E-2"/>
          <c:y val="0.15361103263028159"/>
          <c:w val="0.90331785109139839"/>
          <c:h val="0.37357753837712565"/>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#3)'!$B$129:$B$137</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#3)'!$C$129:$C$137</c:f>
              <c:numCache>
                <c:formatCode>#,##0.000</c:formatCode>
                <c:ptCount val="9"/>
                <c:pt idx="5" formatCode="#,##0.00">
                  <c:v>0</c:v>
                </c:pt>
                <c:pt idx="6" formatCode="#,##0.00">
                  <c:v>0</c:v>
                </c:pt>
                <c:pt idx="7" formatCode="#,##0.00">
                  <c:v>0</c:v>
                </c:pt>
                <c:pt idx="8" formatCode="#,##0.00">
                  <c:v>24.858129266398588</c:v>
                </c:pt>
              </c:numCache>
            </c:numRef>
          </c:val>
          <c:extLst>
            <c:ext xmlns:c16="http://schemas.microsoft.com/office/drawing/2014/chart" uri="{C3380CC4-5D6E-409C-BE32-E72D297353CC}">
              <c16:uniqueId val="{00000000-C4C7-41B9-90D3-88F36AC3B239}"/>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#3)'!$B$129:$B$137</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#3)'!$D$129:$D$137</c:f>
              <c:numCache>
                <c:formatCode>#,##0.000</c:formatCode>
                <c:ptCount val="9"/>
                <c:pt idx="5" formatCode="#,##0.00">
                  <c:v>0</c:v>
                </c:pt>
                <c:pt idx="6" formatCode="#,##0.00">
                  <c:v>62.724614951815447</c:v>
                </c:pt>
                <c:pt idx="7" formatCode="#,##0.00">
                  <c:v>6.8263558158897895E-17</c:v>
                </c:pt>
                <c:pt idx="8" formatCode="#,##0.00">
                  <c:v>29.508321204550885</c:v>
                </c:pt>
              </c:numCache>
            </c:numRef>
          </c:val>
          <c:extLst>
            <c:ext xmlns:c16="http://schemas.microsoft.com/office/drawing/2014/chart" uri="{C3380CC4-5D6E-409C-BE32-E72D297353CC}">
              <c16:uniqueId val="{00000001-C4C7-41B9-90D3-88F36AC3B239}"/>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#3)'!$B$129:$B$137</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#3)'!$E$129:$E$137</c:f>
              <c:numCache>
                <c:formatCode>#,##0.000</c:formatCode>
                <c:ptCount val="9"/>
                <c:pt idx="5" formatCode="#,##0.00">
                  <c:v>0</c:v>
                </c:pt>
                <c:pt idx="6" formatCode="#,##0.00">
                  <c:v>88.135172560514505</c:v>
                </c:pt>
                <c:pt idx="7" formatCode="#,##0.00">
                  <c:v>1.3652711631779579E-16</c:v>
                </c:pt>
                <c:pt idx="8" formatCode="#,##0.00">
                  <c:v>34.158513142703185</c:v>
                </c:pt>
              </c:numCache>
            </c:numRef>
          </c:val>
          <c:extLst>
            <c:ext xmlns:c16="http://schemas.microsoft.com/office/drawing/2014/chart" uri="{C3380CC4-5D6E-409C-BE32-E72D297353CC}">
              <c16:uniqueId val="{00000002-C4C7-41B9-90D3-88F36AC3B239}"/>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#3)'!$B$129:$B$137</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#3)'!$F$129:$F$137</c:f>
              <c:numCache>
                <c:formatCode>#,##0.000</c:formatCode>
                <c:ptCount val="9"/>
                <c:pt idx="5" formatCode="#,##0.00">
                  <c:v>0</c:v>
                </c:pt>
                <c:pt idx="6" formatCode="#,##0.00">
                  <c:v>138.95628777791262</c:v>
                </c:pt>
                <c:pt idx="7" formatCode="#,##0.00">
                  <c:v>2.7305423263559158E-16</c:v>
                </c:pt>
                <c:pt idx="8" formatCode="#,##0.00">
                  <c:v>43.458897019007786</c:v>
                </c:pt>
              </c:numCache>
            </c:numRef>
          </c:val>
          <c:extLst>
            <c:ext xmlns:c16="http://schemas.microsoft.com/office/drawing/2014/chart" uri="{C3380CC4-5D6E-409C-BE32-E72D297353CC}">
              <c16:uniqueId val="{00000003-C4C7-41B9-90D3-88F36AC3B239}"/>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#3)'!$B$129:$B$137</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#3)'!$G$129:$G$137</c:f>
              <c:numCache>
                <c:formatCode>#,##0.000</c:formatCode>
                <c:ptCount val="9"/>
                <c:pt idx="5" formatCode="#,##0.00">
                  <c:v>0</c:v>
                </c:pt>
                <c:pt idx="6" formatCode="#,##0.00">
                  <c:v>138.95628777791262</c:v>
                </c:pt>
                <c:pt idx="7" formatCode="#,##0.00">
                  <c:v>2.7305423263559158E-16</c:v>
                </c:pt>
                <c:pt idx="8" formatCode="#,##0.00">
                  <c:v>43.458897019007786</c:v>
                </c:pt>
              </c:numCache>
            </c:numRef>
          </c:val>
          <c:extLst xmlns:c15="http://schemas.microsoft.com/office/drawing/2012/chart">
            <c:ext xmlns:c16="http://schemas.microsoft.com/office/drawing/2014/chart" uri="{C3380CC4-5D6E-409C-BE32-E72D297353CC}">
              <c16:uniqueId val="{00000004-C4C7-41B9-90D3-88F36AC3B239}"/>
            </c:ext>
          </c:extLst>
        </c:ser>
        <c:dLbls>
          <c:dLblPos val="outEnd"/>
          <c:showLegendKey val="0"/>
          <c:showVal val="1"/>
          <c:showCatName val="0"/>
          <c:showSerName val="0"/>
          <c:showPercent val="0"/>
          <c:showBubbleSize val="0"/>
        </c:dLbls>
        <c:gapWidth val="219"/>
        <c:overlap val="-27"/>
        <c:axId val="390901288"/>
        <c:axId val="390902072"/>
        <c:extLst/>
      </c:barChart>
      <c:catAx>
        <c:axId val="390901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390902072"/>
        <c:crosses val="autoZero"/>
        <c:auto val="1"/>
        <c:lblAlgn val="ctr"/>
        <c:lblOffset val="100"/>
        <c:noMultiLvlLbl val="0"/>
      </c:catAx>
      <c:valAx>
        <c:axId val="390902072"/>
        <c:scaling>
          <c:orientation val="minMax"/>
          <c:max val="1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a:t>
                </a:r>
                <a:r>
                  <a:rPr lang="en-US" b="1"/>
                  <a:t>c</a:t>
                </a:r>
                <a:r>
                  <a:rPr lang="el-GR" b="1"/>
                  <a:t>€ / </a:t>
                </a:r>
                <a:r>
                  <a:rPr lang="en-US" b="1"/>
                  <a:t>kVA</a:t>
                </a:r>
                <a:r>
                  <a:rPr lang="en-US" b="1" baseline="0"/>
                  <a:t> / </a:t>
                </a:r>
                <a:r>
                  <a:rPr lang="el-GR" b="1" baseline="0"/>
                  <a:t>έτος</a:t>
                </a:r>
                <a:r>
                  <a:rPr lang="el-GR" b="1"/>
                  <a:t>)</a:t>
                </a:r>
                <a:endParaRPr lang="en-GB" b="1"/>
              </a:p>
            </c:rich>
          </c:tx>
          <c:layout>
            <c:manualLayout>
              <c:xMode val="edge"/>
              <c:yMode val="edge"/>
              <c:x val="1.1834934594497535E-2"/>
              <c:y val="0.1536945635305727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90128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55566630120581E-2"/>
          <c:y val="2.0462167430143618E-2"/>
          <c:w val="0.89487903252599743"/>
          <c:h val="0.25302160115851863"/>
        </c:manualLayout>
      </c:layout>
      <c:barChart>
        <c:barDir val="col"/>
        <c:grouping val="clustered"/>
        <c:varyColors val="0"/>
        <c:ser>
          <c:idx val="0"/>
          <c:order val="0"/>
          <c:tx>
            <c:strRef>
              <c:f>'Σενάρια (Θέμα #2)'!$C$2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#2)'!$C$38:$C$46</c:f>
              <c:numCache>
                <c:formatCode>#,##0.00</c:formatCode>
                <c:ptCount val="9"/>
                <c:pt idx="0">
                  <c:v>0</c:v>
                </c:pt>
                <c:pt idx="1">
                  <c:v>142.0775195537469</c:v>
                </c:pt>
                <c:pt idx="2">
                  <c:v>215.34921203477913</c:v>
                </c:pt>
                <c:pt idx="3">
                  <c:v>198.17409711928002</c:v>
                </c:pt>
                <c:pt idx="4">
                  <c:v>64.90549642814355</c:v>
                </c:pt>
                <c:pt idx="5">
                  <c:v>0</c:v>
                </c:pt>
                <c:pt idx="6">
                  <c:v>2299.0883513595377</c:v>
                </c:pt>
                <c:pt idx="7">
                  <c:v>0</c:v>
                </c:pt>
                <c:pt idx="8">
                  <c:v>5823.865331650808</c:v>
                </c:pt>
              </c:numCache>
            </c:numRef>
          </c:val>
          <c:extLst>
            <c:ext xmlns:c16="http://schemas.microsoft.com/office/drawing/2014/chart" uri="{C3380CC4-5D6E-409C-BE32-E72D297353CC}">
              <c16:uniqueId val="{00000000-D118-4CEE-AAC2-AC50B1619024}"/>
            </c:ext>
          </c:extLst>
        </c:ser>
        <c:ser>
          <c:idx val="1"/>
          <c:order val="1"/>
          <c:tx>
            <c:strRef>
              <c:f>'Σενάρια (Θέμα #2)'!$D$2</c:f>
              <c:strCache>
                <c:ptCount val="1"/>
                <c:pt idx="0">
                  <c:v>Σενάριο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#2)'!$D$38:$D$46</c:f>
              <c:numCache>
                <c:formatCode>#,##0.00</c:formatCode>
                <c:ptCount val="9"/>
                <c:pt idx="0">
                  <c:v>18.595305745866163</c:v>
                </c:pt>
                <c:pt idx="1">
                  <c:v>121.80283445192374</c:v>
                </c:pt>
                <c:pt idx="2">
                  <c:v>211.23858051261223</c:v>
                </c:pt>
                <c:pt idx="3">
                  <c:v>160.3153268476278</c:v>
                </c:pt>
                <c:pt idx="4">
                  <c:v>71.683609731570925</c:v>
                </c:pt>
                <c:pt idx="5">
                  <c:v>97.047687251225042</c:v>
                </c:pt>
                <c:pt idx="6">
                  <c:v>1828.0710405029756</c:v>
                </c:pt>
                <c:pt idx="7">
                  <c:v>843.28604516656912</c:v>
                </c:pt>
                <c:pt idx="8">
                  <c:v>6102.100438187711</c:v>
                </c:pt>
              </c:numCache>
            </c:numRef>
          </c:val>
          <c:extLst>
            <c:ext xmlns:c16="http://schemas.microsoft.com/office/drawing/2014/chart" uri="{C3380CC4-5D6E-409C-BE32-E72D297353CC}">
              <c16:uniqueId val="{00000001-D118-4CEE-AAC2-AC50B1619024}"/>
            </c:ext>
          </c:extLst>
        </c:ser>
        <c:ser>
          <c:idx val="5"/>
          <c:order val="2"/>
          <c:tx>
            <c:strRef>
              <c:f>'Σενάρια (Θέμα #2)'!$E$2</c:f>
              <c:strCache>
                <c:ptCount val="1"/>
                <c:pt idx="0">
                  <c:v>Σενάριο 1A</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#2)'!$E$38:$E$46</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2-D118-4CEE-AAC2-AC50B1619024}"/>
            </c:ext>
          </c:extLst>
        </c:ser>
        <c:ser>
          <c:idx val="2"/>
          <c:order val="3"/>
          <c:tx>
            <c:strRef>
              <c:f>'Σενάρια (Θέμα #2)'!$F$2</c:f>
              <c:strCache>
                <c:ptCount val="1"/>
                <c:pt idx="0">
                  <c:v>Σενάριο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#2)'!$F$38:$F$46</c:f>
              <c:numCache>
                <c:formatCode>#,##0.00</c:formatCode>
                <c:ptCount val="9"/>
                <c:pt idx="0">
                  <c:v>9.4518449759351029</c:v>
                </c:pt>
                <c:pt idx="1">
                  <c:v>121.67596044980603</c:v>
                </c:pt>
                <c:pt idx="2">
                  <c:v>212.3196581071013</c:v>
                </c:pt>
                <c:pt idx="3">
                  <c:v>159.71982618812757</c:v>
                </c:pt>
                <c:pt idx="4">
                  <c:v>72.296946117238292</c:v>
                </c:pt>
                <c:pt idx="5">
                  <c:v>26.052893422841876</c:v>
                </c:pt>
                <c:pt idx="6">
                  <c:v>1822.8807876509011</c:v>
                </c:pt>
                <c:pt idx="7">
                  <c:v>378.120945296576</c:v>
                </c:pt>
                <c:pt idx="8">
                  <c:v>6109.213984023133</c:v>
                </c:pt>
              </c:numCache>
            </c:numRef>
          </c:val>
          <c:extLst>
            <c:ext xmlns:c16="http://schemas.microsoft.com/office/drawing/2014/chart" uri="{C3380CC4-5D6E-409C-BE32-E72D297353CC}">
              <c16:uniqueId val="{00000003-D118-4CEE-AAC2-AC50B1619024}"/>
            </c:ext>
          </c:extLst>
        </c:ser>
        <c:ser>
          <c:idx val="3"/>
          <c:order val="4"/>
          <c:tx>
            <c:strRef>
              <c:f>'Σενάρια (Θέμα #2)'!$G$2</c:f>
              <c:strCache>
                <c:ptCount val="1"/>
                <c:pt idx="0">
                  <c:v>Σενάριο 2A</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#2)'!$G$38:$G$46</c:f>
              <c:numCache>
                <c:formatCode>#,##0.00</c:formatCode>
                <c:ptCount val="9"/>
                <c:pt idx="0">
                  <c:v>6.997717834155182</c:v>
                </c:pt>
                <c:pt idx="1">
                  <c:v>121.82998960828053</c:v>
                </c:pt>
                <c:pt idx="2">
                  <c:v>212.57503689567227</c:v>
                </c:pt>
                <c:pt idx="3">
                  <c:v>159.93160413163037</c:v>
                </c:pt>
                <c:pt idx="4">
                  <c:v>72.373962831862571</c:v>
                </c:pt>
                <c:pt idx="5">
                  <c:v>6.997717834155182</c:v>
                </c:pt>
                <c:pt idx="6">
                  <c:v>1825.3693778301827</c:v>
                </c:pt>
                <c:pt idx="7">
                  <c:v>244.61336834311186</c:v>
                </c:pt>
                <c:pt idx="8">
                  <c:v>6118.8016370506866</c:v>
                </c:pt>
              </c:numCache>
            </c:numRef>
          </c:val>
          <c:extLst>
            <c:ext xmlns:c16="http://schemas.microsoft.com/office/drawing/2014/chart" uri="{C3380CC4-5D6E-409C-BE32-E72D297353CC}">
              <c16:uniqueId val="{00000004-D118-4CEE-AAC2-AC50B1619024}"/>
            </c:ext>
          </c:extLst>
        </c:ser>
        <c:ser>
          <c:idx val="4"/>
          <c:order val="5"/>
          <c:tx>
            <c:strRef>
              <c:f>'Σενάρια (Θέμα #2)'!$H$2</c:f>
              <c:strCache>
                <c:ptCount val="1"/>
                <c:pt idx="0">
                  <c:v>Σενάριο 3</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#2)'!$H$38:$H$46</c:f>
              <c:numCache>
                <c:formatCode>#,##0.00</c:formatCode>
                <c:ptCount val="9"/>
                <c:pt idx="0">
                  <c:v>30.378563051864131</c:v>
                </c:pt>
                <c:pt idx="1">
                  <c:v>121.97105855033307</c:v>
                </c:pt>
                <c:pt idx="2">
                  <c:v>209.85385249760469</c:v>
                </c:pt>
                <c:pt idx="3">
                  <c:v>161.08903546513181</c:v>
                </c:pt>
                <c:pt idx="4">
                  <c:v>70.895893275887261</c:v>
                </c:pt>
                <c:pt idx="5">
                  <c:v>188.53929465409934</c:v>
                </c:pt>
                <c:pt idx="6">
                  <c:v>1834.8344759850791</c:v>
                </c:pt>
                <c:pt idx="7">
                  <c:v>1371.8261999349097</c:v>
                </c:pt>
                <c:pt idx="8">
                  <c:v>6094.0177281609767</c:v>
                </c:pt>
              </c:numCache>
            </c:numRef>
          </c:val>
          <c:extLst>
            <c:ext xmlns:c16="http://schemas.microsoft.com/office/drawing/2014/chart" uri="{C3380CC4-5D6E-409C-BE32-E72D297353CC}">
              <c16:uniqueId val="{00000005-D118-4CEE-AAC2-AC50B1619024}"/>
            </c:ext>
          </c:extLst>
        </c:ser>
        <c:ser>
          <c:idx val="6"/>
          <c:order val="6"/>
          <c:tx>
            <c:strRef>
              <c:f>'Σενάρια (Θέμα #2)'!$I$2</c:f>
              <c:strCache>
                <c:ptCount val="1"/>
                <c:pt idx="0">
                  <c:v>Σενάριο 3A</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#2)'!$I$38:$I$46</c:f>
              <c:numCache>
                <c:formatCode>#,##0.00</c:formatCode>
                <c:ptCount val="9"/>
                <c:pt idx="0">
                  <c:v>6.997717834155182</c:v>
                </c:pt>
                <c:pt idx="1">
                  <c:v>123.44641431038998</c:v>
                </c:pt>
                <c:pt idx="2">
                  <c:v>212.29997744203791</c:v>
                </c:pt>
                <c:pt idx="3">
                  <c:v>163.11753326317432</c:v>
                </c:pt>
                <c:pt idx="4">
                  <c:v>71.6335916095465</c:v>
                </c:pt>
                <c:pt idx="5">
                  <c:v>6.997717834155182</c:v>
                </c:pt>
                <c:pt idx="6">
                  <c:v>1858.6712345039643</c:v>
                </c:pt>
                <c:pt idx="7">
                  <c:v>244.61336834311186</c:v>
                </c:pt>
                <c:pt idx="8">
                  <c:v>6174.9668829889033</c:v>
                </c:pt>
              </c:numCache>
            </c:numRef>
          </c:val>
          <c:extLst>
            <c:ext xmlns:c16="http://schemas.microsoft.com/office/drawing/2014/chart" uri="{C3380CC4-5D6E-409C-BE32-E72D297353CC}">
              <c16:uniqueId val="{00000006-D118-4CEE-AAC2-AC50B1619024}"/>
            </c:ext>
          </c:extLst>
        </c:ser>
        <c:dLbls>
          <c:dLblPos val="outEnd"/>
          <c:showLegendKey val="0"/>
          <c:showVal val="1"/>
          <c:showCatName val="0"/>
          <c:showSerName val="0"/>
          <c:showPercent val="0"/>
          <c:showBubbleSize val="0"/>
        </c:dLbls>
        <c:gapWidth val="219"/>
        <c:overlap val="-27"/>
        <c:axId val="585765736"/>
        <c:axId val="585764952"/>
      </c:barChart>
      <c:catAx>
        <c:axId val="585765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585764952"/>
        <c:crosses val="autoZero"/>
        <c:auto val="1"/>
        <c:lblAlgn val="ctr"/>
        <c:lblOffset val="100"/>
        <c:noMultiLvlLbl val="0"/>
      </c:catAx>
      <c:valAx>
        <c:axId val="585764952"/>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 / μετρητή</a:t>
                </a:r>
                <a:r>
                  <a:rPr lang="el-GR" b="1" baseline="0"/>
                  <a:t> / έτος</a:t>
                </a:r>
                <a:r>
                  <a:rPr lang="el-GR" b="1"/>
                  <a:t>)</a:t>
                </a:r>
                <a:endParaRPr lang="en-GB" b="1"/>
              </a:p>
            </c:rich>
          </c:tx>
          <c:layout>
            <c:manualLayout>
              <c:xMode val="edge"/>
              <c:yMode val="edge"/>
              <c:x val="8.4471909365759663E-3"/>
              <c:y val="0.2975993493771025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85765736"/>
        <c:crosses val="autoZero"/>
        <c:crossBetween val="between"/>
      </c:valAx>
      <c:spPr>
        <a:noFill/>
        <a:ln>
          <a:noFill/>
        </a:ln>
        <a:effectLst/>
      </c:spPr>
    </c:plotArea>
    <c:legend>
      <c:legendPos val="b"/>
      <c:layout>
        <c:manualLayout>
          <c:xMode val="edge"/>
          <c:yMode val="edge"/>
          <c:x val="3.1032959822329901E-3"/>
          <c:y val="0.70520634950199523"/>
          <c:w val="0.99219071774682022"/>
          <c:h val="0.290859902121933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800" b="1" i="0" baseline="0">
                <a:effectLst/>
              </a:rPr>
              <a:t>Σύγκριση σεναρίων επιμερισμού του κόστους Δικτύου</a:t>
            </a:r>
          </a:p>
          <a:p>
            <a:pPr>
              <a:defRPr/>
            </a:pPr>
            <a:r>
              <a:rPr lang="el-GR" sz="1800" b="1" i="0" baseline="0">
                <a:effectLst/>
              </a:rPr>
              <a:t>Συνολική ετήσια χρέωση ΧΔ ανά μετρητή</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8.6555566630120581E-2"/>
          <c:y val="0.31343095545812005"/>
          <c:w val="0.89487903252599743"/>
          <c:h val="0.6320126978467826"/>
        </c:manualLayout>
      </c:layout>
      <c:barChart>
        <c:barDir val="col"/>
        <c:grouping val="clustered"/>
        <c:varyColors val="0"/>
        <c:ser>
          <c:idx val="0"/>
          <c:order val="0"/>
          <c:tx>
            <c:strRef>
              <c:f>'Σενάρια (Θέμα #2)'!$C$2</c:f>
              <c:strCache>
                <c:ptCount val="1"/>
                <c:pt idx="0">
                  <c:v>Τρέχουσα μεθοδολογία</c:v>
                </c:pt>
              </c:strCache>
            </c:strRef>
          </c:tx>
          <c:spPr>
            <a:solidFill>
              <a:schemeClr val="accent1"/>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#2)'!$C$38:$C$46</c:f>
              <c:numCache>
                <c:formatCode>#,##0.00</c:formatCode>
                <c:ptCount val="9"/>
                <c:pt idx="0">
                  <c:v>0</c:v>
                </c:pt>
                <c:pt idx="1">
                  <c:v>142.0775195537469</c:v>
                </c:pt>
                <c:pt idx="2">
                  <c:v>215.34921203477913</c:v>
                </c:pt>
                <c:pt idx="3">
                  <c:v>198.17409711928002</c:v>
                </c:pt>
                <c:pt idx="4">
                  <c:v>64.90549642814355</c:v>
                </c:pt>
                <c:pt idx="5">
                  <c:v>0</c:v>
                </c:pt>
                <c:pt idx="6">
                  <c:v>2299.0883513595377</c:v>
                </c:pt>
                <c:pt idx="7">
                  <c:v>0</c:v>
                </c:pt>
                <c:pt idx="8">
                  <c:v>5823.865331650808</c:v>
                </c:pt>
              </c:numCache>
            </c:numRef>
          </c:val>
          <c:extLst>
            <c:ext xmlns:c16="http://schemas.microsoft.com/office/drawing/2014/chart" uri="{C3380CC4-5D6E-409C-BE32-E72D297353CC}">
              <c16:uniqueId val="{00000000-3848-4501-9B6B-CC6D213FDA0F}"/>
            </c:ext>
          </c:extLst>
        </c:ser>
        <c:ser>
          <c:idx val="1"/>
          <c:order val="1"/>
          <c:tx>
            <c:strRef>
              <c:f>'Σενάρια (Θέμα #2)'!$D$2</c:f>
              <c:strCache>
                <c:ptCount val="1"/>
                <c:pt idx="0">
                  <c:v>Σενάριο 1</c:v>
                </c:pt>
              </c:strCache>
            </c:strRef>
          </c:tx>
          <c:spPr>
            <a:solidFill>
              <a:schemeClr val="accent2"/>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#2)'!$D$38:$D$46</c:f>
              <c:numCache>
                <c:formatCode>#,##0.00</c:formatCode>
                <c:ptCount val="9"/>
                <c:pt idx="0">
                  <c:v>18.595305745866163</c:v>
                </c:pt>
                <c:pt idx="1">
                  <c:v>121.80283445192374</c:v>
                </c:pt>
                <c:pt idx="2">
                  <c:v>211.23858051261223</c:v>
                </c:pt>
                <c:pt idx="3">
                  <c:v>160.3153268476278</c:v>
                </c:pt>
                <c:pt idx="4">
                  <c:v>71.683609731570925</c:v>
                </c:pt>
                <c:pt idx="5">
                  <c:v>97.047687251225042</c:v>
                </c:pt>
                <c:pt idx="6">
                  <c:v>1828.0710405029756</c:v>
                </c:pt>
                <c:pt idx="7">
                  <c:v>843.28604516656912</c:v>
                </c:pt>
                <c:pt idx="8">
                  <c:v>6102.100438187711</c:v>
                </c:pt>
              </c:numCache>
            </c:numRef>
          </c:val>
          <c:extLst>
            <c:ext xmlns:c16="http://schemas.microsoft.com/office/drawing/2014/chart" uri="{C3380CC4-5D6E-409C-BE32-E72D297353CC}">
              <c16:uniqueId val="{00000001-3848-4501-9B6B-CC6D213FDA0F}"/>
            </c:ext>
          </c:extLst>
        </c:ser>
        <c:ser>
          <c:idx val="5"/>
          <c:order val="2"/>
          <c:tx>
            <c:strRef>
              <c:f>'Σενάρια (Θέμα #2)'!$E$2</c:f>
              <c:strCache>
                <c:ptCount val="1"/>
                <c:pt idx="0">
                  <c:v>Σενάριο 1A</c:v>
                </c:pt>
              </c:strCache>
            </c:strRef>
          </c:tx>
          <c:spPr>
            <a:solidFill>
              <a:schemeClr val="accent6"/>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#2)'!$E$38:$E$46</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2-3848-4501-9B6B-CC6D213FDA0F}"/>
            </c:ext>
          </c:extLst>
        </c:ser>
        <c:ser>
          <c:idx val="2"/>
          <c:order val="3"/>
          <c:tx>
            <c:strRef>
              <c:f>'Σενάρια (Θέμα #2)'!$F$2</c:f>
              <c:strCache>
                <c:ptCount val="1"/>
                <c:pt idx="0">
                  <c:v>Σενάριο 2</c:v>
                </c:pt>
              </c:strCache>
            </c:strRef>
          </c:tx>
          <c:spPr>
            <a:solidFill>
              <a:schemeClr val="accent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#2)'!$F$38:$F$46</c:f>
              <c:numCache>
                <c:formatCode>#,##0.00</c:formatCode>
                <c:ptCount val="9"/>
                <c:pt idx="0">
                  <c:v>9.4518449759351029</c:v>
                </c:pt>
                <c:pt idx="1">
                  <c:v>121.67596044980603</c:v>
                </c:pt>
                <c:pt idx="2">
                  <c:v>212.3196581071013</c:v>
                </c:pt>
                <c:pt idx="3">
                  <c:v>159.71982618812757</c:v>
                </c:pt>
                <c:pt idx="4">
                  <c:v>72.296946117238292</c:v>
                </c:pt>
                <c:pt idx="5">
                  <c:v>26.052893422841876</c:v>
                </c:pt>
                <c:pt idx="6">
                  <c:v>1822.8807876509011</c:v>
                </c:pt>
                <c:pt idx="7">
                  <c:v>378.120945296576</c:v>
                </c:pt>
                <c:pt idx="8">
                  <c:v>6109.213984023133</c:v>
                </c:pt>
              </c:numCache>
            </c:numRef>
          </c:val>
          <c:extLst>
            <c:ext xmlns:c16="http://schemas.microsoft.com/office/drawing/2014/chart" uri="{C3380CC4-5D6E-409C-BE32-E72D297353CC}">
              <c16:uniqueId val="{00000003-3848-4501-9B6B-CC6D213FDA0F}"/>
            </c:ext>
          </c:extLst>
        </c:ser>
        <c:ser>
          <c:idx val="3"/>
          <c:order val="4"/>
          <c:tx>
            <c:strRef>
              <c:f>'Σενάρια (Θέμα #2)'!$G$2</c:f>
              <c:strCache>
                <c:ptCount val="1"/>
                <c:pt idx="0">
                  <c:v>Σενάριο 2A</c:v>
                </c:pt>
              </c:strCache>
            </c:strRef>
          </c:tx>
          <c:spPr>
            <a:solidFill>
              <a:schemeClr val="accent4"/>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#2)'!$G$38:$G$46</c:f>
              <c:numCache>
                <c:formatCode>#,##0.00</c:formatCode>
                <c:ptCount val="9"/>
                <c:pt idx="0">
                  <c:v>6.997717834155182</c:v>
                </c:pt>
                <c:pt idx="1">
                  <c:v>121.82998960828053</c:v>
                </c:pt>
                <c:pt idx="2">
                  <c:v>212.57503689567227</c:v>
                </c:pt>
                <c:pt idx="3">
                  <c:v>159.93160413163037</c:v>
                </c:pt>
                <c:pt idx="4">
                  <c:v>72.373962831862571</c:v>
                </c:pt>
                <c:pt idx="5">
                  <c:v>6.997717834155182</c:v>
                </c:pt>
                <c:pt idx="6">
                  <c:v>1825.3693778301827</c:v>
                </c:pt>
                <c:pt idx="7">
                  <c:v>244.61336834311186</c:v>
                </c:pt>
                <c:pt idx="8">
                  <c:v>6118.8016370506866</c:v>
                </c:pt>
              </c:numCache>
            </c:numRef>
          </c:val>
          <c:extLst>
            <c:ext xmlns:c16="http://schemas.microsoft.com/office/drawing/2014/chart" uri="{C3380CC4-5D6E-409C-BE32-E72D297353CC}">
              <c16:uniqueId val="{00000004-3848-4501-9B6B-CC6D213FDA0F}"/>
            </c:ext>
          </c:extLst>
        </c:ser>
        <c:ser>
          <c:idx val="4"/>
          <c:order val="5"/>
          <c:tx>
            <c:strRef>
              <c:f>'Σενάρια (Θέμα #2)'!$H$2</c:f>
              <c:strCache>
                <c:ptCount val="1"/>
                <c:pt idx="0">
                  <c:v>Σενάριο 3</c:v>
                </c:pt>
              </c:strCache>
            </c:strRef>
          </c:tx>
          <c:spPr>
            <a:solidFill>
              <a:schemeClr val="accent5"/>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#2)'!$H$38:$H$46</c:f>
              <c:numCache>
                <c:formatCode>#,##0.00</c:formatCode>
                <c:ptCount val="9"/>
                <c:pt idx="0">
                  <c:v>30.378563051864131</c:v>
                </c:pt>
                <c:pt idx="1">
                  <c:v>121.97105855033307</c:v>
                </c:pt>
                <c:pt idx="2">
                  <c:v>209.85385249760469</c:v>
                </c:pt>
                <c:pt idx="3">
                  <c:v>161.08903546513181</c:v>
                </c:pt>
                <c:pt idx="4">
                  <c:v>70.895893275887261</c:v>
                </c:pt>
                <c:pt idx="5">
                  <c:v>188.53929465409934</c:v>
                </c:pt>
                <c:pt idx="6">
                  <c:v>1834.8344759850791</c:v>
                </c:pt>
                <c:pt idx="7">
                  <c:v>1371.8261999349097</c:v>
                </c:pt>
                <c:pt idx="8">
                  <c:v>6094.0177281609767</c:v>
                </c:pt>
              </c:numCache>
            </c:numRef>
          </c:val>
          <c:extLst>
            <c:ext xmlns:c16="http://schemas.microsoft.com/office/drawing/2014/chart" uri="{C3380CC4-5D6E-409C-BE32-E72D297353CC}">
              <c16:uniqueId val="{00000005-3848-4501-9B6B-CC6D213FDA0F}"/>
            </c:ext>
          </c:extLst>
        </c:ser>
        <c:ser>
          <c:idx val="6"/>
          <c:order val="6"/>
          <c:tx>
            <c:strRef>
              <c:f>'Σενάρια (Θέμα #2)'!$I$2</c:f>
              <c:strCache>
                <c:ptCount val="1"/>
                <c:pt idx="0">
                  <c:v>Σενάριο 3A</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'Σενάρια (Θέμα #2)'!$B$38:$B$46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'Σενάρια (Θέμα #2)'!$I$38:$I$46</c:f>
              <c:numCache>
                <c:formatCode>#,##0.00</c:formatCode>
                <c:ptCount val="9"/>
                <c:pt idx="0">
                  <c:v>6.997717834155182</c:v>
                </c:pt>
                <c:pt idx="1">
                  <c:v>123.44641431038998</c:v>
                </c:pt>
                <c:pt idx="2">
                  <c:v>212.29997744203791</c:v>
                </c:pt>
                <c:pt idx="3">
                  <c:v>163.11753326317432</c:v>
                </c:pt>
                <c:pt idx="4">
                  <c:v>71.6335916095465</c:v>
                </c:pt>
                <c:pt idx="5">
                  <c:v>6.997717834155182</c:v>
                </c:pt>
                <c:pt idx="6">
                  <c:v>1858.6712345039643</c:v>
                </c:pt>
                <c:pt idx="7">
                  <c:v>244.61336834311186</c:v>
                </c:pt>
                <c:pt idx="8">
                  <c:v>6174.9668829889033</c:v>
                </c:pt>
              </c:numCache>
            </c:numRef>
          </c:val>
          <c:extLst>
            <c:ext xmlns:c16="http://schemas.microsoft.com/office/drawing/2014/chart" uri="{C3380CC4-5D6E-409C-BE32-E72D297353CC}">
              <c16:uniqueId val="{00000006-3848-4501-9B6B-CC6D213FDA0F}"/>
            </c:ext>
          </c:extLst>
        </c:ser>
        <c:dLbls>
          <c:dLblPos val="outEnd"/>
          <c:showLegendKey val="0"/>
          <c:showVal val="1"/>
          <c:showCatName val="0"/>
          <c:showSerName val="0"/>
          <c:showPercent val="0"/>
          <c:showBubbleSize val="0"/>
        </c:dLbls>
        <c:gapWidth val="219"/>
        <c:overlap val="-27"/>
        <c:axId val="585773184"/>
        <c:axId val="585769656"/>
      </c:barChart>
      <c:catAx>
        <c:axId val="585773184"/>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585769656"/>
        <c:crosses val="autoZero"/>
        <c:auto val="1"/>
        <c:lblAlgn val="ctr"/>
        <c:lblOffset val="100"/>
        <c:noMultiLvlLbl val="0"/>
      </c:catAx>
      <c:valAx>
        <c:axId val="585769656"/>
        <c:scaling>
          <c:orientation val="minMax"/>
          <c:min val="3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85773184"/>
        <c:crosses val="autoZero"/>
        <c:crossBetween val="between"/>
        <c:minorUnit val="3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sz="1600" b="1" i="0" baseline="0">
                <a:effectLst/>
              </a:rPr>
              <a:t>Σύγκριση σεναρίων επιμερισμού/ανάκτησης του κόστους Δικτύου Βασικό σενάριο αγροτικών (απαλλαγή από σκέλος ισχύος)</a:t>
            </a:r>
          </a:p>
          <a:p>
            <a:pPr>
              <a:defRPr/>
            </a:pPr>
            <a:r>
              <a:rPr lang="el-GR" sz="1600" b="1" i="0" baseline="0">
                <a:effectLst/>
              </a:rPr>
              <a:t>Συνολική χρέωση ΧΧΔ ανά </a:t>
            </a:r>
            <a:r>
              <a:rPr lang="en-US" sz="1600" b="1" i="0" baseline="0">
                <a:effectLst/>
              </a:rPr>
              <a:t>MWh</a:t>
            </a:r>
            <a:r>
              <a:rPr lang="el-GR" sz="1600" b="1" i="0" baseline="0">
                <a:effectLst/>
              </a:rPr>
              <a:t> κατανάλωσης</a:t>
            </a:r>
            <a:endParaRPr lang="en-GB" sz="1600">
              <a:effectLst/>
            </a:endParaRPr>
          </a:p>
        </c:rich>
      </c:tx>
      <c:layout>
        <c:manualLayout>
          <c:xMode val="edge"/>
          <c:yMode val="edge"/>
          <c:x val="0.114269975746702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8116748064719757E-2"/>
          <c:y val="0.11595165574363085"/>
          <c:w val="0.90331785109139839"/>
          <c:h val="0.41779722444874023"/>
        </c:manualLayout>
      </c:layout>
      <c:barChart>
        <c:barDir val="col"/>
        <c:grouping val="clustered"/>
        <c:varyColors val="0"/>
        <c:ser>
          <c:idx val="0"/>
          <c:order val="0"/>
          <c:tx>
            <c:strRef>
              <c:f>'Προτ. Προσθ. Τροπ. (Θέμα #1)'!$C$2</c:f>
              <c:strCache>
                <c:ptCount val="1"/>
                <c:pt idx="0">
                  <c:v>Παρούσα κατάσταση</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#1)'!$C$27:$C$35</c:f>
              <c:numCache>
                <c:formatCode>#,##0.00</c:formatCode>
                <c:ptCount val="9"/>
                <c:pt idx="0">
                  <c:v>0</c:v>
                </c:pt>
                <c:pt idx="1">
                  <c:v>23.359553508548991</c:v>
                </c:pt>
                <c:pt idx="2">
                  <c:v>21.35504929512927</c:v>
                </c:pt>
                <c:pt idx="3">
                  <c:v>23.697813389268671</c:v>
                </c:pt>
                <c:pt idx="4">
                  <c:v>21.342171287931528</c:v>
                </c:pt>
                <c:pt idx="5">
                  <c:v>0</c:v>
                </c:pt>
                <c:pt idx="6">
                  <c:v>23.39614971729474</c:v>
                </c:pt>
                <c:pt idx="7">
                  <c:v>0</c:v>
                </c:pt>
                <c:pt idx="8">
                  <c:v>6.1592410777092264</c:v>
                </c:pt>
              </c:numCache>
            </c:numRef>
          </c:val>
          <c:extLst>
            <c:ext xmlns:c16="http://schemas.microsoft.com/office/drawing/2014/chart" uri="{C3380CC4-5D6E-409C-BE32-E72D297353CC}">
              <c16:uniqueId val="{00000000-A101-4241-AE4B-755338E887E0}"/>
            </c:ext>
          </c:extLst>
        </c:ser>
        <c:ser>
          <c:idx val="1"/>
          <c:order val="1"/>
          <c:tx>
            <c:strRef>
              <c:f>'Προτ. Προσθ. Τροπ. (Θέμα #1)'!$D$2</c:f>
              <c:strCache>
                <c:ptCount val="1"/>
                <c:pt idx="0">
                  <c:v>Επιμερισμός/Ανάκτηση σύμφωνα με διατάξεις ΚΔΔ
Σενάριο 1Α</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#1)'!$D$27:$D$35</c:f>
              <c:numCache>
                <c:formatCode>#,##0.00</c:formatCode>
                <c:ptCount val="9"/>
                <c:pt idx="0">
                  <c:v>1.2153208834686131</c:v>
                </c:pt>
                <c:pt idx="1">
                  <c:v>20.146075398521386</c:v>
                </c:pt>
                <c:pt idx="2">
                  <c:v>21.067386426230968</c:v>
                </c:pt>
                <c:pt idx="3">
                  <c:v>19.290598906970821</c:v>
                </c:pt>
                <c:pt idx="4">
                  <c:v>23.6909117102579</c:v>
                </c:pt>
                <c:pt idx="5">
                  <c:v>0.15652188310786574</c:v>
                </c:pt>
                <c:pt idx="6">
                  <c:v>18.722916028710554</c:v>
                </c:pt>
                <c:pt idx="7">
                  <c:v>0.33127442638947618</c:v>
                </c:pt>
                <c:pt idx="8">
                  <c:v>6.4989673706036299</c:v>
                </c:pt>
              </c:numCache>
            </c:numRef>
          </c:val>
          <c:extLst>
            <c:ext xmlns:c16="http://schemas.microsoft.com/office/drawing/2014/chart" uri="{C3380CC4-5D6E-409C-BE32-E72D297353CC}">
              <c16:uniqueId val="{00000001-A101-4241-AE4B-755338E887E0}"/>
            </c:ext>
          </c:extLst>
        </c:ser>
        <c:ser>
          <c:idx val="5"/>
          <c:order val="2"/>
          <c:tx>
            <c:strRef>
              <c:f>'Προτ. Προσθ. Τροπ. (Θέμα #1)'!$E$2</c:f>
              <c:strCache>
                <c:ptCount val="1"/>
                <c:pt idx="0">
                  <c:v>Βελτίωση #1
Ανάκτηση 65% RR Κατηγ. 6-9 μέσω Συμφ.Ισχύος</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#1)'!$E$27:$E$35</c:f>
              <c:numCache>
                <c:formatCode>#,##0.00</c:formatCode>
                <c:ptCount val="9"/>
                <c:pt idx="0">
                  <c:v>1.2153208834686131</c:v>
                </c:pt>
                <c:pt idx="1">
                  <c:v>20.146075398521386</c:v>
                </c:pt>
                <c:pt idx="2">
                  <c:v>21.067386426230968</c:v>
                </c:pt>
                <c:pt idx="3">
                  <c:v>19.290598906970821</c:v>
                </c:pt>
                <c:pt idx="4">
                  <c:v>23.6909117102579</c:v>
                </c:pt>
                <c:pt idx="5">
                  <c:v>0.15652188310786574</c:v>
                </c:pt>
                <c:pt idx="6">
                  <c:v>18.722916028710554</c:v>
                </c:pt>
                <c:pt idx="7">
                  <c:v>0.33127442638947618</c:v>
                </c:pt>
                <c:pt idx="8">
                  <c:v>6.4989673706036299</c:v>
                </c:pt>
              </c:numCache>
            </c:numRef>
          </c:val>
          <c:extLst>
            <c:ext xmlns:c16="http://schemas.microsoft.com/office/drawing/2014/chart" uri="{C3380CC4-5D6E-409C-BE32-E72D297353CC}">
              <c16:uniqueId val="{00000002-A101-4241-AE4B-755338E887E0}"/>
            </c:ext>
          </c:extLst>
        </c:ser>
        <c:ser>
          <c:idx val="2"/>
          <c:order val="3"/>
          <c:tx>
            <c:strRef>
              <c:f>'Προτ. Προσθ. Τροπ. (Θέμα #1)'!$F$2</c:f>
              <c:strCache>
                <c:ptCount val="1"/>
                <c:pt idx="0">
                  <c:v>Βελτίωση #2
Βελτίωση #1 + Στάθμιση (80%) ΜΦΑ μηνών χαμηλού φορτίου</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#1)'!$B$27:$B$35</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#1)'!$F$27:$F$35</c:f>
              <c:numCache>
                <c:formatCode>#,##0.00</c:formatCode>
                <c:ptCount val="9"/>
                <c:pt idx="0">
                  <c:v>1.2153208834686131</c:v>
                </c:pt>
                <c:pt idx="1">
                  <c:v>20.252700400667539</c:v>
                </c:pt>
                <c:pt idx="2">
                  <c:v>21.077032786784802</c:v>
                </c:pt>
                <c:pt idx="3">
                  <c:v>18.865283782467873</c:v>
                </c:pt>
                <c:pt idx="4">
                  <c:v>23.64351221898486</c:v>
                </c:pt>
                <c:pt idx="5">
                  <c:v>0.15652188310786574</c:v>
                </c:pt>
                <c:pt idx="6">
                  <c:v>18.803311663567747</c:v>
                </c:pt>
                <c:pt idx="7">
                  <c:v>0.33127442638947618</c:v>
                </c:pt>
                <c:pt idx="8">
                  <c:v>6.5020379118117209</c:v>
                </c:pt>
              </c:numCache>
            </c:numRef>
          </c:val>
          <c:extLst>
            <c:ext xmlns:c16="http://schemas.microsoft.com/office/drawing/2014/chart" uri="{C3380CC4-5D6E-409C-BE32-E72D297353CC}">
              <c16:uniqueId val="{00000003-A101-4241-AE4B-755338E887E0}"/>
            </c:ext>
          </c:extLst>
        </c:ser>
        <c:dLbls>
          <c:dLblPos val="outEnd"/>
          <c:showLegendKey val="0"/>
          <c:showVal val="1"/>
          <c:showCatName val="0"/>
          <c:showSerName val="0"/>
          <c:showPercent val="0"/>
          <c:showBubbleSize val="0"/>
        </c:dLbls>
        <c:gapWidth val="219"/>
        <c:overlap val="-27"/>
        <c:axId val="390895800"/>
        <c:axId val="585769264"/>
      </c:barChart>
      <c:catAx>
        <c:axId val="390895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585769264"/>
        <c:crosses val="autoZero"/>
        <c:auto val="1"/>
        <c:lblAlgn val="ctr"/>
        <c:lblOffset val="100"/>
        <c:noMultiLvlLbl val="0"/>
      </c:catAx>
      <c:valAx>
        <c:axId val="585769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 / </a:t>
                </a:r>
                <a:r>
                  <a:rPr lang="en-US" b="1"/>
                  <a:t>MWh</a:t>
                </a:r>
                <a:r>
                  <a:rPr lang="el-GR" b="1"/>
                  <a:t>)</a:t>
                </a:r>
                <a:endParaRPr lang="en-GB" b="1"/>
              </a:p>
            </c:rich>
          </c:tx>
          <c:layout>
            <c:manualLayout>
              <c:xMode val="edge"/>
              <c:yMode val="edge"/>
              <c:x val="8.4471909365759663E-3"/>
              <c:y val="0.2975993493771025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895800"/>
        <c:crosses val="autoZero"/>
        <c:crossBetween val="between"/>
      </c:valAx>
      <c:spPr>
        <a:noFill/>
        <a:ln>
          <a:noFill/>
        </a:ln>
        <a:effectLst/>
      </c:spPr>
    </c:plotArea>
    <c:legend>
      <c:legendPos val="b"/>
      <c:layout>
        <c:manualLayout>
          <c:xMode val="edge"/>
          <c:yMode val="edge"/>
          <c:x val="3.030625602179474E-2"/>
          <c:y val="0.84806412372106177"/>
          <c:w val="0.95120170105319113"/>
          <c:h val="0.1419484181243811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55566630120581E-2"/>
          <c:y val="2.0462167430143618E-2"/>
          <c:w val="0.89487903252599743"/>
          <c:h val="0.45061754073193672"/>
        </c:manualLayout>
      </c:layout>
      <c:barChart>
        <c:barDir val="col"/>
        <c:grouping val="clustered"/>
        <c:varyColors val="0"/>
        <c:ser>
          <c:idx val="0"/>
          <c:order val="0"/>
          <c:tx>
            <c:strRef>
              <c:f>'Προτ. Προσθ. Τροπ. (Θέμα #1)'!$C$2</c:f>
              <c:strCache>
                <c:ptCount val="1"/>
                <c:pt idx="0">
                  <c:v>Παρούσα κατάσταση</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#1)'!$C$38:$C$46</c:f>
              <c:numCache>
                <c:formatCode>#,##0.00</c:formatCode>
                <c:ptCount val="9"/>
                <c:pt idx="0">
                  <c:v>0</c:v>
                </c:pt>
                <c:pt idx="1">
                  <c:v>142.0775195537469</c:v>
                </c:pt>
                <c:pt idx="2">
                  <c:v>215.34921203477913</c:v>
                </c:pt>
                <c:pt idx="3">
                  <c:v>198.17409711928002</c:v>
                </c:pt>
                <c:pt idx="4">
                  <c:v>64.90549642814355</c:v>
                </c:pt>
                <c:pt idx="5">
                  <c:v>0</c:v>
                </c:pt>
                <c:pt idx="6">
                  <c:v>2299.0883513595377</c:v>
                </c:pt>
                <c:pt idx="7">
                  <c:v>0</c:v>
                </c:pt>
                <c:pt idx="8">
                  <c:v>5823.865331650808</c:v>
                </c:pt>
              </c:numCache>
            </c:numRef>
          </c:val>
          <c:extLst>
            <c:ext xmlns:c16="http://schemas.microsoft.com/office/drawing/2014/chart" uri="{C3380CC4-5D6E-409C-BE32-E72D297353CC}">
              <c16:uniqueId val="{00000000-9A57-4C93-93E0-D3A4A9DC2D51}"/>
            </c:ext>
          </c:extLst>
        </c:ser>
        <c:ser>
          <c:idx val="1"/>
          <c:order val="1"/>
          <c:tx>
            <c:strRef>
              <c:f>'Προτ. Προσθ. Τροπ. (Θέμα #1)'!$D$2</c:f>
              <c:strCache>
                <c:ptCount val="1"/>
                <c:pt idx="0">
                  <c:v>Επιμερισμός/Ανάκτηση σύμφωνα με διατάξεις ΚΔΔ
Σενάριο 1Α</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#1)'!$D$38:$D$46</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1-9A57-4C93-93E0-D3A4A9DC2D51}"/>
            </c:ext>
          </c:extLst>
        </c:ser>
        <c:ser>
          <c:idx val="5"/>
          <c:order val="2"/>
          <c:tx>
            <c:strRef>
              <c:f>'Προτ. Προσθ. Τροπ. (Θέμα #1)'!$E$2</c:f>
              <c:strCache>
                <c:ptCount val="1"/>
                <c:pt idx="0">
                  <c:v>Βελτίωση #1
Ανάκτηση 65% RR Κατηγ. 6-9 μέσω Συμφ.Ισχύος</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#1)'!$E$38:$E$46</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2-9A57-4C93-93E0-D3A4A9DC2D51}"/>
            </c:ext>
          </c:extLst>
        </c:ser>
        <c:ser>
          <c:idx val="2"/>
          <c:order val="3"/>
          <c:tx>
            <c:strRef>
              <c:f>'Προτ. Προσθ. Τροπ. (Θέμα #1)'!$F$2</c:f>
              <c:strCache>
                <c:ptCount val="1"/>
                <c:pt idx="0">
                  <c:v>Βελτίωση #2
Βελτίωση #1 + Στάθμιση (80%) ΜΦΑ μηνών χαμηλού φορτίου</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#1)'!$F$38:$F$46</c:f>
              <c:numCache>
                <c:formatCode>#,##0.00</c:formatCode>
                <c:ptCount val="9"/>
                <c:pt idx="0">
                  <c:v>6.997717834155182</c:v>
                </c:pt>
                <c:pt idx="1">
                  <c:v>123.18101183479155</c:v>
                </c:pt>
                <c:pt idx="2">
                  <c:v>212.5456298384928</c:v>
                </c:pt>
                <c:pt idx="3">
                  <c:v>157.76183730869283</c:v>
                </c:pt>
                <c:pt idx="4">
                  <c:v>71.904300512566181</c:v>
                </c:pt>
                <c:pt idx="5">
                  <c:v>6.997717834155182</c:v>
                </c:pt>
                <c:pt idx="6">
                  <c:v>1847.760222731649</c:v>
                </c:pt>
                <c:pt idx="7">
                  <c:v>244.61336834311186</c:v>
                </c:pt>
                <c:pt idx="8">
                  <c:v>6147.9965959967212</c:v>
                </c:pt>
              </c:numCache>
            </c:numRef>
          </c:val>
          <c:extLst>
            <c:ext xmlns:c16="http://schemas.microsoft.com/office/drawing/2014/chart" uri="{C3380CC4-5D6E-409C-BE32-E72D297353CC}">
              <c16:uniqueId val="{00000003-9A57-4C93-93E0-D3A4A9DC2D51}"/>
            </c:ext>
          </c:extLst>
        </c:ser>
        <c:dLbls>
          <c:dLblPos val="outEnd"/>
          <c:showLegendKey val="0"/>
          <c:showVal val="1"/>
          <c:showCatName val="0"/>
          <c:showSerName val="0"/>
          <c:showPercent val="0"/>
          <c:showBubbleSize val="0"/>
        </c:dLbls>
        <c:gapWidth val="219"/>
        <c:overlap val="-27"/>
        <c:axId val="585765736"/>
        <c:axId val="585764952"/>
      </c:barChart>
      <c:catAx>
        <c:axId val="585765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585764952"/>
        <c:crosses val="autoZero"/>
        <c:auto val="1"/>
        <c:lblAlgn val="ctr"/>
        <c:lblOffset val="100"/>
        <c:noMultiLvlLbl val="0"/>
      </c:catAx>
      <c:valAx>
        <c:axId val="585764952"/>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 / μετρητή</a:t>
                </a:r>
                <a:r>
                  <a:rPr lang="el-GR" b="1" baseline="0"/>
                  <a:t> / έτος</a:t>
                </a:r>
                <a:r>
                  <a:rPr lang="el-GR" b="1"/>
                  <a:t>)</a:t>
                </a:r>
                <a:endParaRPr lang="en-GB" b="1"/>
              </a:p>
            </c:rich>
          </c:tx>
          <c:layout>
            <c:manualLayout>
              <c:xMode val="edge"/>
              <c:yMode val="edge"/>
              <c:x val="8.4471909365759663E-3"/>
              <c:y val="0.2975993493771025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85765736"/>
        <c:crosses val="autoZero"/>
        <c:crossBetween val="between"/>
      </c:valAx>
      <c:spPr>
        <a:noFill/>
        <a:ln>
          <a:noFill/>
        </a:ln>
        <a:effectLst/>
      </c:spPr>
    </c:plotArea>
    <c:legend>
      <c:legendPos val="b"/>
      <c:layout>
        <c:manualLayout>
          <c:xMode val="edge"/>
          <c:yMode val="edge"/>
          <c:x val="6.2157992504847407E-3"/>
          <c:y val="0.83418930398576807"/>
          <c:w val="0.98223762883548316"/>
          <c:h val="0.154199665535276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l-GR" sz="1400" b="1" i="0" baseline="0">
                <a:effectLst/>
              </a:rPr>
              <a:t>Σύγκριση σεναρίων επιμερισμού/ανάκτησης του κόστους Δικτύου</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l-GR" sz="1400" b="1" i="0" baseline="0">
                <a:effectLst/>
              </a:rPr>
              <a:t>Βασικό σενάριο αγροτικών (απαλλαγή από σκέλος ισχύος)</a:t>
            </a:r>
            <a:endParaRPr lang="el-GR" sz="14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l-GR" sz="1400" b="1" i="0" baseline="0">
                <a:effectLst/>
              </a:rPr>
              <a:t>Συνολική ετήσια χρέωση ΧΧΔ ανά μετρητή</a:t>
            </a:r>
            <a:endParaRPr lang="en-GB"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l-GR"/>
        </a:p>
      </c:txPr>
    </c:title>
    <c:autoTitleDeleted val="0"/>
    <c:plotArea>
      <c:layout>
        <c:manualLayout>
          <c:layoutTarget val="inner"/>
          <c:xMode val="edge"/>
          <c:yMode val="edge"/>
          <c:x val="8.6555566630120581E-2"/>
          <c:y val="0.31343095545812005"/>
          <c:w val="0.89487903252599743"/>
          <c:h val="0.6320126978467826"/>
        </c:manualLayout>
      </c:layout>
      <c:barChart>
        <c:barDir val="col"/>
        <c:grouping val="clustered"/>
        <c:varyColors val="0"/>
        <c:ser>
          <c:idx val="0"/>
          <c:order val="0"/>
          <c:tx>
            <c:strRef>
              <c:f>'Προτ. Προσθ. Τροπ. (Θέμα #1)'!$C$2</c:f>
              <c:strCache>
                <c:ptCount val="1"/>
                <c:pt idx="0">
                  <c:v>Παρούσα κατάσταση</c:v>
                </c:pt>
              </c:strCache>
            </c:strRef>
          </c:tx>
          <c:spPr>
            <a:solidFill>
              <a:schemeClr val="accent1"/>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#1)'!$C$38:$C$46</c:f>
              <c:numCache>
                <c:formatCode>#,##0.00</c:formatCode>
                <c:ptCount val="9"/>
                <c:pt idx="0">
                  <c:v>0</c:v>
                </c:pt>
                <c:pt idx="1">
                  <c:v>142.0775195537469</c:v>
                </c:pt>
                <c:pt idx="2">
                  <c:v>215.34921203477913</c:v>
                </c:pt>
                <c:pt idx="3">
                  <c:v>198.17409711928002</c:v>
                </c:pt>
                <c:pt idx="4">
                  <c:v>64.90549642814355</c:v>
                </c:pt>
                <c:pt idx="5">
                  <c:v>0</c:v>
                </c:pt>
                <c:pt idx="6">
                  <c:v>2299.0883513595377</c:v>
                </c:pt>
                <c:pt idx="7">
                  <c:v>0</c:v>
                </c:pt>
                <c:pt idx="8">
                  <c:v>5823.865331650808</c:v>
                </c:pt>
              </c:numCache>
            </c:numRef>
          </c:val>
          <c:extLst>
            <c:ext xmlns:c16="http://schemas.microsoft.com/office/drawing/2014/chart" uri="{C3380CC4-5D6E-409C-BE32-E72D297353CC}">
              <c16:uniqueId val="{00000000-377E-464A-AFE0-1CE3DF4B54E7}"/>
            </c:ext>
          </c:extLst>
        </c:ser>
        <c:ser>
          <c:idx val="1"/>
          <c:order val="1"/>
          <c:tx>
            <c:strRef>
              <c:f>'Προτ. Προσθ. Τροπ. (Θέμα #1)'!$D$2</c:f>
              <c:strCache>
                <c:ptCount val="1"/>
                <c:pt idx="0">
                  <c:v>Επιμερισμός/Ανάκτηση σύμφωνα με διατάξεις ΚΔΔ
Σενάριο 1Α</c:v>
                </c:pt>
              </c:strCache>
            </c:strRef>
          </c:tx>
          <c:spPr>
            <a:solidFill>
              <a:schemeClr val="accent2"/>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#1)'!$D$38:$D$46</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1-377E-464A-AFE0-1CE3DF4B54E7}"/>
            </c:ext>
          </c:extLst>
        </c:ser>
        <c:ser>
          <c:idx val="5"/>
          <c:order val="2"/>
          <c:tx>
            <c:strRef>
              <c:f>'Προτ. Προσθ. Τροπ. (Θέμα #1)'!$E$2</c:f>
              <c:strCache>
                <c:ptCount val="1"/>
                <c:pt idx="0">
                  <c:v>Βελτίωση #1
Ανάκτηση 65% RR Κατηγ. 6-9 μέσω Συμφ.Ισχύος</c:v>
                </c:pt>
              </c:strCache>
            </c:strRef>
          </c:tx>
          <c:spPr>
            <a:solidFill>
              <a:schemeClr val="accent6"/>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#1)'!$E$38:$E$46</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2-377E-464A-AFE0-1CE3DF4B54E7}"/>
            </c:ext>
          </c:extLst>
        </c:ser>
        <c:ser>
          <c:idx val="2"/>
          <c:order val="3"/>
          <c:tx>
            <c:strRef>
              <c:f>'Προτ. Προσθ. Τροπ. (Θέμα #1)'!$F$2</c:f>
              <c:strCache>
                <c:ptCount val="1"/>
                <c:pt idx="0">
                  <c:v>Βελτίωση #2
Βελτίωση #1 + Στάθμιση (80%) ΜΦΑ μηνών χαμηλού φορτίου</c:v>
                </c:pt>
              </c:strCache>
            </c:strRef>
          </c:tx>
          <c:spPr>
            <a:solidFill>
              <a:schemeClr val="accent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'Προτ. Προσθ. Τροπ. (Θέμα #1)'!$B$38:$B$46</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'Προτ. Προσθ. Τροπ. (Θέμα #1)'!$F$38:$F$46</c:f>
              <c:numCache>
                <c:formatCode>#,##0.00</c:formatCode>
                <c:ptCount val="9"/>
                <c:pt idx="0">
                  <c:v>6.997717834155182</c:v>
                </c:pt>
                <c:pt idx="1">
                  <c:v>123.18101183479155</c:v>
                </c:pt>
                <c:pt idx="2">
                  <c:v>212.5456298384928</c:v>
                </c:pt>
                <c:pt idx="3">
                  <c:v>157.76183730869283</c:v>
                </c:pt>
                <c:pt idx="4">
                  <c:v>71.904300512566181</c:v>
                </c:pt>
                <c:pt idx="5">
                  <c:v>6.997717834155182</c:v>
                </c:pt>
                <c:pt idx="6">
                  <c:v>1847.760222731649</c:v>
                </c:pt>
                <c:pt idx="7">
                  <c:v>244.61336834311186</c:v>
                </c:pt>
                <c:pt idx="8">
                  <c:v>6147.9965959967212</c:v>
                </c:pt>
              </c:numCache>
            </c:numRef>
          </c:val>
          <c:extLst>
            <c:ext xmlns:c16="http://schemas.microsoft.com/office/drawing/2014/chart" uri="{C3380CC4-5D6E-409C-BE32-E72D297353CC}">
              <c16:uniqueId val="{00000003-377E-464A-AFE0-1CE3DF4B54E7}"/>
            </c:ext>
          </c:extLst>
        </c:ser>
        <c:dLbls>
          <c:dLblPos val="outEnd"/>
          <c:showLegendKey val="0"/>
          <c:showVal val="1"/>
          <c:showCatName val="0"/>
          <c:showSerName val="0"/>
          <c:showPercent val="0"/>
          <c:showBubbleSize val="0"/>
        </c:dLbls>
        <c:gapWidth val="219"/>
        <c:overlap val="-27"/>
        <c:axId val="585773184"/>
        <c:axId val="585769656"/>
      </c:barChart>
      <c:catAx>
        <c:axId val="585773184"/>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585769656"/>
        <c:crosses val="autoZero"/>
        <c:auto val="1"/>
        <c:lblAlgn val="ctr"/>
        <c:lblOffset val="100"/>
        <c:noMultiLvlLbl val="0"/>
      </c:catAx>
      <c:valAx>
        <c:axId val="585769656"/>
        <c:scaling>
          <c:orientation val="minMax"/>
          <c:min val="3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585773184"/>
        <c:crosses val="autoZero"/>
        <c:crossBetween val="between"/>
        <c:minorUnit val="3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l-GR" b="1"/>
              <a:t>Διαδικασία μετάβασης, Συνολική</a:t>
            </a:r>
            <a:r>
              <a:rPr lang="el-GR" b="1" baseline="0"/>
              <a:t> </a:t>
            </a:r>
            <a:r>
              <a:rPr lang="el-GR" b="1"/>
              <a:t>χρέωση ΧΧΔ ανά </a:t>
            </a:r>
            <a:r>
              <a:rPr lang="en-US" b="1"/>
              <a:t>MWh</a:t>
            </a:r>
            <a:r>
              <a:rPr lang="el-GR" b="1"/>
              <a:t> κατανάλωσης</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6428984351639584E-2"/>
          <c:y val="0.27734463276836158"/>
          <c:w val="0.90500561480447839"/>
          <c:h val="0.66050847457627115"/>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#3)'!$C$41:$C$49</c:f>
              <c:numCache>
                <c:formatCode>0.00</c:formatCode>
                <c:ptCount val="9"/>
                <c:pt idx="0">
                  <c:v>0</c:v>
                </c:pt>
                <c:pt idx="1">
                  <c:v>22.177349975607132</c:v>
                </c:pt>
                <c:pt idx="2">
                  <c:v>22.177349975607132</c:v>
                </c:pt>
                <c:pt idx="3">
                  <c:v>22.177349975607129</c:v>
                </c:pt>
                <c:pt idx="4">
                  <c:v>22.177349975607125</c:v>
                </c:pt>
                <c:pt idx="5">
                  <c:v>0</c:v>
                </c:pt>
                <c:pt idx="6">
                  <c:v>22.177349975607129</c:v>
                </c:pt>
                <c:pt idx="7">
                  <c:v>0</c:v>
                </c:pt>
                <c:pt idx="8">
                  <c:v>6.1592410777092255</c:v>
                </c:pt>
              </c:numCache>
            </c:numRef>
          </c:val>
          <c:extLst>
            <c:ext xmlns:c16="http://schemas.microsoft.com/office/drawing/2014/chart" uri="{C3380CC4-5D6E-409C-BE32-E72D297353CC}">
              <c16:uniqueId val="{00000000-5DEE-4631-8EA0-3F6BCE3D8DB8}"/>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#3)'!$D$41:$D$49</c:f>
              <c:numCache>
                <c:formatCode>0.00</c:formatCode>
                <c:ptCount val="9"/>
                <c:pt idx="0">
                  <c:v>0.30383022086715328</c:v>
                </c:pt>
                <c:pt idx="1">
                  <c:v>21.669531331335694</c:v>
                </c:pt>
                <c:pt idx="2">
                  <c:v>21.899859088263089</c:v>
                </c:pt>
                <c:pt idx="3">
                  <c:v>21.45566220844805</c:v>
                </c:pt>
                <c:pt idx="4">
                  <c:v>22.55574040926982</c:v>
                </c:pt>
                <c:pt idx="5">
                  <c:v>3.9130470776966436E-2</c:v>
                </c:pt>
                <c:pt idx="6">
                  <c:v>21.313741488882989</c:v>
                </c:pt>
                <c:pt idx="7">
                  <c:v>8.2818606597369046E-2</c:v>
                </c:pt>
                <c:pt idx="8">
                  <c:v>6.2441726509328266</c:v>
                </c:pt>
              </c:numCache>
            </c:numRef>
          </c:val>
          <c:extLst>
            <c:ext xmlns:c16="http://schemas.microsoft.com/office/drawing/2014/chart" uri="{C3380CC4-5D6E-409C-BE32-E72D297353CC}">
              <c16:uniqueId val="{00000001-5DEE-4631-8EA0-3F6BCE3D8DB8}"/>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#3)'!$E$41:$E$49</c:f>
              <c:numCache>
                <c:formatCode>0.00</c:formatCode>
                <c:ptCount val="9"/>
                <c:pt idx="0">
                  <c:v>0.60766044173430656</c:v>
                </c:pt>
                <c:pt idx="1">
                  <c:v>21.161712687064259</c:v>
                </c:pt>
                <c:pt idx="2">
                  <c:v>21.622368200919052</c:v>
                </c:pt>
                <c:pt idx="3">
                  <c:v>20.733974441288975</c:v>
                </c:pt>
                <c:pt idx="4">
                  <c:v>22.934130842932515</c:v>
                </c:pt>
                <c:pt idx="5">
                  <c:v>7.8260941553932872E-2</c:v>
                </c:pt>
                <c:pt idx="6">
                  <c:v>20.450133002158843</c:v>
                </c:pt>
                <c:pt idx="7">
                  <c:v>0.16563721319473809</c:v>
                </c:pt>
                <c:pt idx="8">
                  <c:v>6.3291042241564286</c:v>
                </c:pt>
              </c:numCache>
            </c:numRef>
          </c:val>
          <c:extLst>
            <c:ext xmlns:c16="http://schemas.microsoft.com/office/drawing/2014/chart" uri="{C3380CC4-5D6E-409C-BE32-E72D297353CC}">
              <c16:uniqueId val="{00000002-5DEE-4631-8EA0-3F6BCE3D8DB8}"/>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#3)'!$F$41:$F$49</c:f>
              <c:numCache>
                <c:formatCode>0.00</c:formatCode>
                <c:ptCount val="9"/>
                <c:pt idx="0">
                  <c:v>1.2153208834686131</c:v>
                </c:pt>
                <c:pt idx="1">
                  <c:v>20.146075398521386</c:v>
                </c:pt>
                <c:pt idx="2">
                  <c:v>21.067386426230968</c:v>
                </c:pt>
                <c:pt idx="3">
                  <c:v>19.290598906970821</c:v>
                </c:pt>
                <c:pt idx="4">
                  <c:v>23.6909117102579</c:v>
                </c:pt>
                <c:pt idx="5">
                  <c:v>0.15652188310786574</c:v>
                </c:pt>
                <c:pt idx="6">
                  <c:v>18.722916028710554</c:v>
                </c:pt>
                <c:pt idx="7">
                  <c:v>0.33127442638947618</c:v>
                </c:pt>
                <c:pt idx="8">
                  <c:v>6.4989673706036299</c:v>
                </c:pt>
              </c:numCache>
            </c:numRef>
          </c:val>
          <c:extLst>
            <c:ext xmlns:c16="http://schemas.microsoft.com/office/drawing/2014/chart" uri="{C3380CC4-5D6E-409C-BE32-E72D297353CC}">
              <c16:uniqueId val="{00000003-5DEE-4631-8EA0-3F6BCE3D8DB8}"/>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#3)'!$G$41:$G$49</c:f>
              <c:numCache>
                <c:formatCode>0.00</c:formatCode>
                <c:ptCount val="9"/>
                <c:pt idx="0">
                  <c:v>1.2153208834686131</c:v>
                </c:pt>
                <c:pt idx="1">
                  <c:v>20.146075398521386</c:v>
                </c:pt>
                <c:pt idx="2">
                  <c:v>21.067386426230968</c:v>
                </c:pt>
                <c:pt idx="3">
                  <c:v>19.290598906970821</c:v>
                </c:pt>
                <c:pt idx="4">
                  <c:v>23.6909117102579</c:v>
                </c:pt>
                <c:pt idx="5">
                  <c:v>0.15652188310786574</c:v>
                </c:pt>
                <c:pt idx="6">
                  <c:v>18.722916028710554</c:v>
                </c:pt>
                <c:pt idx="7">
                  <c:v>0.33127442638947618</c:v>
                </c:pt>
                <c:pt idx="8">
                  <c:v>6.4989673706036299</c:v>
                </c:pt>
              </c:numCache>
            </c:numRef>
          </c:val>
          <c:extLst xmlns:c15="http://schemas.microsoft.com/office/drawing/2012/chart">
            <c:ext xmlns:c16="http://schemas.microsoft.com/office/drawing/2014/chart" uri="{C3380CC4-5D6E-409C-BE32-E72D297353CC}">
              <c16:uniqueId val="{00000004-5DEE-4631-8EA0-3F6BCE3D8DB8}"/>
            </c:ext>
          </c:extLst>
        </c:ser>
        <c:dLbls>
          <c:dLblPos val="outEnd"/>
          <c:showLegendKey val="0"/>
          <c:showVal val="1"/>
          <c:showCatName val="0"/>
          <c:showSerName val="0"/>
          <c:showPercent val="0"/>
          <c:showBubbleSize val="0"/>
        </c:dLbls>
        <c:gapWidth val="219"/>
        <c:overlap val="-27"/>
        <c:axId val="390899328"/>
        <c:axId val="390900112"/>
        <c:extLst/>
      </c:barChart>
      <c:catAx>
        <c:axId val="39089932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390900112"/>
        <c:crosses val="autoZero"/>
        <c:auto val="1"/>
        <c:lblAlgn val="ctr"/>
        <c:lblOffset val="100"/>
        <c:noMultiLvlLbl val="0"/>
      </c:catAx>
      <c:valAx>
        <c:axId val="390900112"/>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899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16748064719757E-2"/>
          <c:y val="5.5757575757575756E-2"/>
          <c:w val="0.90331785109139839"/>
          <c:h val="0.42043884514435698"/>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#3)'!$C$41:$C$49</c:f>
              <c:numCache>
                <c:formatCode>0.00</c:formatCode>
                <c:ptCount val="9"/>
                <c:pt idx="0">
                  <c:v>0</c:v>
                </c:pt>
                <c:pt idx="1">
                  <c:v>22.177349975607132</c:v>
                </c:pt>
                <c:pt idx="2">
                  <c:v>22.177349975607132</c:v>
                </c:pt>
                <c:pt idx="3">
                  <c:v>22.177349975607129</c:v>
                </c:pt>
                <c:pt idx="4">
                  <c:v>22.177349975607125</c:v>
                </c:pt>
                <c:pt idx="5">
                  <c:v>0</c:v>
                </c:pt>
                <c:pt idx="6">
                  <c:v>22.177349975607129</c:v>
                </c:pt>
                <c:pt idx="7">
                  <c:v>0</c:v>
                </c:pt>
                <c:pt idx="8">
                  <c:v>6.1592410777092255</c:v>
                </c:pt>
              </c:numCache>
            </c:numRef>
          </c:val>
          <c:extLst>
            <c:ext xmlns:c16="http://schemas.microsoft.com/office/drawing/2014/chart" uri="{C3380CC4-5D6E-409C-BE32-E72D297353CC}">
              <c16:uniqueId val="{00000000-17C9-406C-94AB-38B7619F7594}"/>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#3)'!$D$41:$D$49</c:f>
              <c:numCache>
                <c:formatCode>0.00</c:formatCode>
                <c:ptCount val="9"/>
                <c:pt idx="0">
                  <c:v>0.30383022086715328</c:v>
                </c:pt>
                <c:pt idx="1">
                  <c:v>21.669531331335694</c:v>
                </c:pt>
                <c:pt idx="2">
                  <c:v>21.899859088263089</c:v>
                </c:pt>
                <c:pt idx="3">
                  <c:v>21.45566220844805</c:v>
                </c:pt>
                <c:pt idx="4">
                  <c:v>22.55574040926982</c:v>
                </c:pt>
                <c:pt idx="5">
                  <c:v>3.9130470776966436E-2</c:v>
                </c:pt>
                <c:pt idx="6">
                  <c:v>21.313741488882989</c:v>
                </c:pt>
                <c:pt idx="7">
                  <c:v>8.2818606597369046E-2</c:v>
                </c:pt>
                <c:pt idx="8">
                  <c:v>6.2441726509328266</c:v>
                </c:pt>
              </c:numCache>
            </c:numRef>
          </c:val>
          <c:extLst>
            <c:ext xmlns:c16="http://schemas.microsoft.com/office/drawing/2014/chart" uri="{C3380CC4-5D6E-409C-BE32-E72D297353CC}">
              <c16:uniqueId val="{00000001-17C9-406C-94AB-38B7619F7594}"/>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#3)'!$E$41:$E$49</c:f>
              <c:numCache>
                <c:formatCode>0.00</c:formatCode>
                <c:ptCount val="9"/>
                <c:pt idx="0">
                  <c:v>0.60766044173430656</c:v>
                </c:pt>
                <c:pt idx="1">
                  <c:v>21.161712687064259</c:v>
                </c:pt>
                <c:pt idx="2">
                  <c:v>21.622368200919052</c:v>
                </c:pt>
                <c:pt idx="3">
                  <c:v>20.733974441288975</c:v>
                </c:pt>
                <c:pt idx="4">
                  <c:v>22.934130842932515</c:v>
                </c:pt>
                <c:pt idx="5">
                  <c:v>7.8260941553932872E-2</c:v>
                </c:pt>
                <c:pt idx="6">
                  <c:v>20.450133002158843</c:v>
                </c:pt>
                <c:pt idx="7">
                  <c:v>0.16563721319473809</c:v>
                </c:pt>
                <c:pt idx="8">
                  <c:v>6.3291042241564286</c:v>
                </c:pt>
              </c:numCache>
            </c:numRef>
          </c:val>
          <c:extLst>
            <c:ext xmlns:c16="http://schemas.microsoft.com/office/drawing/2014/chart" uri="{C3380CC4-5D6E-409C-BE32-E72D297353CC}">
              <c16:uniqueId val="{00000002-17C9-406C-94AB-38B7619F7594}"/>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#3)'!$F$41:$F$49</c:f>
              <c:numCache>
                <c:formatCode>0.00</c:formatCode>
                <c:ptCount val="9"/>
                <c:pt idx="0">
                  <c:v>1.2153208834686131</c:v>
                </c:pt>
                <c:pt idx="1">
                  <c:v>20.146075398521386</c:v>
                </c:pt>
                <c:pt idx="2">
                  <c:v>21.067386426230968</c:v>
                </c:pt>
                <c:pt idx="3">
                  <c:v>19.290598906970821</c:v>
                </c:pt>
                <c:pt idx="4">
                  <c:v>23.6909117102579</c:v>
                </c:pt>
                <c:pt idx="5">
                  <c:v>0.15652188310786574</c:v>
                </c:pt>
                <c:pt idx="6">
                  <c:v>18.722916028710554</c:v>
                </c:pt>
                <c:pt idx="7">
                  <c:v>0.33127442638947618</c:v>
                </c:pt>
                <c:pt idx="8">
                  <c:v>6.4989673706036299</c:v>
                </c:pt>
              </c:numCache>
            </c:numRef>
          </c:val>
          <c:extLst>
            <c:ext xmlns:c16="http://schemas.microsoft.com/office/drawing/2014/chart" uri="{C3380CC4-5D6E-409C-BE32-E72D297353CC}">
              <c16:uniqueId val="{00000003-17C9-406C-94AB-38B7619F7594}"/>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#3)'!$B$41:$B$49</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#3)'!$G$41:$G$49</c:f>
              <c:numCache>
                <c:formatCode>0.00</c:formatCode>
                <c:ptCount val="9"/>
                <c:pt idx="0">
                  <c:v>1.2153208834686131</c:v>
                </c:pt>
                <c:pt idx="1">
                  <c:v>20.146075398521386</c:v>
                </c:pt>
                <c:pt idx="2">
                  <c:v>21.067386426230968</c:v>
                </c:pt>
                <c:pt idx="3">
                  <c:v>19.290598906970821</c:v>
                </c:pt>
                <c:pt idx="4">
                  <c:v>23.6909117102579</c:v>
                </c:pt>
                <c:pt idx="5">
                  <c:v>0.15652188310786574</c:v>
                </c:pt>
                <c:pt idx="6">
                  <c:v>18.722916028710554</c:v>
                </c:pt>
                <c:pt idx="7">
                  <c:v>0.33127442638947618</c:v>
                </c:pt>
                <c:pt idx="8">
                  <c:v>6.4989673706036299</c:v>
                </c:pt>
              </c:numCache>
            </c:numRef>
          </c:val>
          <c:extLst xmlns:c15="http://schemas.microsoft.com/office/drawing/2012/chart">
            <c:ext xmlns:c16="http://schemas.microsoft.com/office/drawing/2014/chart" uri="{C3380CC4-5D6E-409C-BE32-E72D297353CC}">
              <c16:uniqueId val="{00000004-17C9-406C-94AB-38B7619F7594}"/>
            </c:ext>
          </c:extLst>
        </c:ser>
        <c:dLbls>
          <c:dLblPos val="outEnd"/>
          <c:showLegendKey val="0"/>
          <c:showVal val="1"/>
          <c:showCatName val="0"/>
          <c:showSerName val="0"/>
          <c:showPercent val="0"/>
          <c:showBubbleSize val="0"/>
        </c:dLbls>
        <c:gapWidth val="219"/>
        <c:overlap val="-27"/>
        <c:axId val="390901288"/>
        <c:axId val="390902072"/>
        <c:extLst/>
      </c:barChart>
      <c:catAx>
        <c:axId val="390901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crossAx val="390902072"/>
        <c:crosses val="autoZero"/>
        <c:auto val="1"/>
        <c:lblAlgn val="ctr"/>
        <c:lblOffset val="100"/>
        <c:noMultiLvlLbl val="0"/>
      </c:catAx>
      <c:valAx>
        <c:axId val="390902072"/>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l-GR" b="1"/>
                  <a:t>(€ / </a:t>
                </a:r>
                <a:r>
                  <a:rPr lang="en-US" b="1"/>
                  <a:t>MWh</a:t>
                </a:r>
                <a:r>
                  <a:rPr lang="el-GR" b="1"/>
                  <a:t>)</a:t>
                </a:r>
                <a:endParaRPr lang="en-GB" b="1"/>
              </a:p>
            </c:rich>
          </c:tx>
          <c:layout>
            <c:manualLayout>
              <c:xMode val="edge"/>
              <c:yMode val="edge"/>
              <c:x val="1.5198245788896642E-2"/>
              <c:y val="5.3467907420663326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l-GR"/>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901288"/>
        <c:crosses val="autoZero"/>
        <c:crossBetween val="between"/>
        <c:maj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l-GR" b="1"/>
              <a:t>Διαδικασία μετάβασης, Συνολική</a:t>
            </a:r>
            <a:r>
              <a:rPr lang="el-GR" b="1" baseline="0"/>
              <a:t> ετήσια </a:t>
            </a:r>
            <a:r>
              <a:rPr lang="el-GR" b="1"/>
              <a:t>χρέωση ΧΧΔ ανά μετρητή</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7.6428984351639584E-2"/>
          <c:y val="0.27734463276836158"/>
          <c:w val="0.90500561480447839"/>
          <c:h val="0.66050847457627115"/>
        </c:manualLayout>
      </c:layout>
      <c:barChart>
        <c:barDir val="col"/>
        <c:grouping val="clustered"/>
        <c:varyColors val="0"/>
        <c:ser>
          <c:idx val="0"/>
          <c:order val="0"/>
          <c:tx>
            <c:strRef>
              <c:f>'Μετάβαση (Θέμα #3)'!$C$22</c:f>
              <c:strCache>
                <c:ptCount val="1"/>
                <c:pt idx="0">
                  <c:v>Τρέχουσα μεθοδολογία</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#3)'!$C$52:$C$60</c:f>
              <c:numCache>
                <c:formatCode>#,##0.00</c:formatCode>
                <c:ptCount val="9"/>
                <c:pt idx="0">
                  <c:v>0</c:v>
                </c:pt>
                <c:pt idx="1">
                  <c:v>134.88711903917434</c:v>
                </c:pt>
                <c:pt idx="2">
                  <c:v>223.6414805821039</c:v>
                </c:pt>
                <c:pt idx="3">
                  <c:v>185.45914915105428</c:v>
                </c:pt>
                <c:pt idx="4">
                  <c:v>67.445429530472424</c:v>
                </c:pt>
                <c:pt idx="5">
                  <c:v>0</c:v>
                </c:pt>
                <c:pt idx="6">
                  <c:v>2179.3195721965872</c:v>
                </c:pt>
                <c:pt idx="7">
                  <c:v>0</c:v>
                </c:pt>
                <c:pt idx="8">
                  <c:v>5823.865331650808</c:v>
                </c:pt>
              </c:numCache>
            </c:numRef>
          </c:val>
          <c:extLst>
            <c:ext xmlns:c16="http://schemas.microsoft.com/office/drawing/2014/chart" uri="{C3380CC4-5D6E-409C-BE32-E72D297353CC}">
              <c16:uniqueId val="{00000000-DD7A-45F4-9DE5-54E100BA8725}"/>
            </c:ext>
          </c:extLst>
        </c:ser>
        <c:ser>
          <c:idx val="1"/>
          <c:order val="1"/>
          <c:tx>
            <c:strRef>
              <c:f>'Μετάβαση (Θέμα #3)'!$D$22</c:f>
              <c:strCache>
                <c:ptCount val="1"/>
                <c:pt idx="0">
                  <c:v>Έτος 1</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#3)'!$D$52:$D$60</c:f>
              <c:numCache>
                <c:formatCode>#,##0.00</c:formatCode>
                <c:ptCount val="9"/>
                <c:pt idx="0">
                  <c:v>1.7494294585387955</c:v>
                </c:pt>
                <c:pt idx="1">
                  <c:v>131.79846354176394</c:v>
                </c:pt>
                <c:pt idx="2">
                  <c:v>220.84319886846717</c:v>
                </c:pt>
                <c:pt idx="3">
                  <c:v>179.42400070467716</c:v>
                </c:pt>
                <c:pt idx="4">
                  <c:v>68.596184934372005</c:v>
                </c:pt>
                <c:pt idx="5">
                  <c:v>1.7494294585387955</c:v>
                </c:pt>
                <c:pt idx="6">
                  <c:v>2094.4546591252288</c:v>
                </c:pt>
                <c:pt idx="7">
                  <c:v>61.153342085777965</c:v>
                </c:pt>
                <c:pt idx="8">
                  <c:v>5904.1723108092619</c:v>
                </c:pt>
              </c:numCache>
            </c:numRef>
          </c:val>
          <c:extLst>
            <c:ext xmlns:c16="http://schemas.microsoft.com/office/drawing/2014/chart" uri="{C3380CC4-5D6E-409C-BE32-E72D297353CC}">
              <c16:uniqueId val="{00000001-DD7A-45F4-9DE5-54E100BA8725}"/>
            </c:ext>
          </c:extLst>
        </c:ser>
        <c:ser>
          <c:idx val="2"/>
          <c:order val="2"/>
          <c:tx>
            <c:strRef>
              <c:f>'Μετάβαση (Θέμα #3)'!$E$22</c:f>
              <c:strCache>
                <c:ptCount val="1"/>
                <c:pt idx="0">
                  <c:v>Έτος 2</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#3)'!$E$52:$E$60</c:f>
              <c:numCache>
                <c:formatCode>#,##0.00</c:formatCode>
                <c:ptCount val="9"/>
                <c:pt idx="0">
                  <c:v>3.498858917077591</c:v>
                </c:pt>
                <c:pt idx="1">
                  <c:v>128.70980804435354</c:v>
                </c:pt>
                <c:pt idx="2">
                  <c:v>218.04491715483047</c:v>
                </c:pt>
                <c:pt idx="3">
                  <c:v>173.38885225830009</c:v>
                </c:pt>
                <c:pt idx="4">
                  <c:v>69.746940338271585</c:v>
                </c:pt>
                <c:pt idx="5">
                  <c:v>3.498858917077591</c:v>
                </c:pt>
                <c:pt idx="6">
                  <c:v>2009.5897460538695</c:v>
                </c:pt>
                <c:pt idx="7">
                  <c:v>122.30668417155593</c:v>
                </c:pt>
                <c:pt idx="8">
                  <c:v>5984.4792899677177</c:v>
                </c:pt>
              </c:numCache>
            </c:numRef>
          </c:val>
          <c:extLst>
            <c:ext xmlns:c16="http://schemas.microsoft.com/office/drawing/2014/chart" uri="{C3380CC4-5D6E-409C-BE32-E72D297353CC}">
              <c16:uniqueId val="{00000002-DD7A-45F4-9DE5-54E100BA8725}"/>
            </c:ext>
          </c:extLst>
        </c:ser>
        <c:ser>
          <c:idx val="3"/>
          <c:order val="3"/>
          <c:tx>
            <c:strRef>
              <c:f>'Μετάβαση (Θέμα #3)'!$F$22</c:f>
              <c:strCache>
                <c:ptCount val="1"/>
                <c:pt idx="0">
                  <c:v>Έτος 3</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#3)'!$F$52:$F$60</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c:ext xmlns:c16="http://schemas.microsoft.com/office/drawing/2014/chart" uri="{C3380CC4-5D6E-409C-BE32-E72D297353CC}">
              <c16:uniqueId val="{00000003-DD7A-45F4-9DE5-54E100BA8725}"/>
            </c:ext>
          </c:extLst>
        </c:ser>
        <c:ser>
          <c:idx val="4"/>
          <c:order val="4"/>
          <c:tx>
            <c:strRef>
              <c:f>'Μετάβαση (Θέμα #3)'!$G$22</c:f>
              <c:strCache>
                <c:ptCount val="1"/>
                <c:pt idx="0">
                  <c:v>Έτος 4</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'Μετάβαση (Θέμα #3)'!$B$52:$B$60</c:f>
              <c:strCache>
                <c:ptCount val="9"/>
                <c:pt idx="0">
                  <c:v>ΧΤ Αγροτικοί Χωρίς Ωριαίο Μετρητή</c:v>
                </c:pt>
                <c:pt idx="1">
                  <c:v>ΧΤ Εμπορικοί χωρίς Ωριαίο Μετρητή</c:v>
                </c:pt>
                <c:pt idx="2">
                  <c:v>ΧΤ Βιομηχανικοί χωρίς Ωριαίο Μετρητή</c:v>
                </c:pt>
                <c:pt idx="3">
                  <c:v>ΧΤ ΦΟΠ, χωρίς Ωριαίο Μετρητή</c:v>
                </c:pt>
                <c:pt idx="4">
                  <c:v>ΧΤ Λοιποί χωρίς Ωριαίο Μετρητή</c:v>
                </c:pt>
                <c:pt idx="5">
                  <c:v>ΧΤ Αγροτικοί με Ωριαίο Μετρητή</c:v>
                </c:pt>
                <c:pt idx="6">
                  <c:v>ΧΤ Λοιποί με Ωριαίο Μετρητή</c:v>
                </c:pt>
                <c:pt idx="7">
                  <c:v>MΤ Αγροτικοί με Ωριαίο Μετρητή</c:v>
                </c:pt>
                <c:pt idx="8">
                  <c:v>MΤ Λοιποί με Ωριαίο Μετρητή</c:v>
                </c:pt>
              </c:strCache>
            </c:strRef>
          </c:cat>
          <c:val>
            <c:numRef>
              <c:f>'Μετάβαση (Θέμα #3)'!$G$52:$G$60</c:f>
              <c:numCache>
                <c:formatCode>#,##0.00</c:formatCode>
                <c:ptCount val="9"/>
                <c:pt idx="0">
                  <c:v>6.997717834155182</c:v>
                </c:pt>
                <c:pt idx="1">
                  <c:v>122.53249704953275</c:v>
                </c:pt>
                <c:pt idx="2">
                  <c:v>212.44835372755702</c:v>
                </c:pt>
                <c:pt idx="3">
                  <c:v>161.31855536554588</c:v>
                </c:pt>
                <c:pt idx="4">
                  <c:v>72.048451146070747</c:v>
                </c:pt>
                <c:pt idx="5">
                  <c:v>6.997717834155182</c:v>
                </c:pt>
                <c:pt idx="6">
                  <c:v>1839.8599199111513</c:v>
                </c:pt>
                <c:pt idx="7">
                  <c:v>244.61336834311186</c:v>
                </c:pt>
                <c:pt idx="8">
                  <c:v>6145.0932482846265</c:v>
                </c:pt>
              </c:numCache>
            </c:numRef>
          </c:val>
          <c:extLst xmlns:c15="http://schemas.microsoft.com/office/drawing/2012/chart">
            <c:ext xmlns:c16="http://schemas.microsoft.com/office/drawing/2014/chart" uri="{C3380CC4-5D6E-409C-BE32-E72D297353CC}">
              <c16:uniqueId val="{00000004-DD7A-45F4-9DE5-54E100BA8725}"/>
            </c:ext>
          </c:extLst>
        </c:ser>
        <c:dLbls>
          <c:dLblPos val="outEnd"/>
          <c:showLegendKey val="0"/>
          <c:showVal val="1"/>
          <c:showCatName val="0"/>
          <c:showSerName val="0"/>
          <c:showPercent val="0"/>
          <c:showBubbleSize val="0"/>
        </c:dLbls>
        <c:gapWidth val="219"/>
        <c:overlap val="-27"/>
        <c:axId val="390899328"/>
        <c:axId val="390900112"/>
        <c:extLst/>
      </c:barChart>
      <c:catAx>
        <c:axId val="39089932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390900112"/>
        <c:crosses val="autoZero"/>
        <c:auto val="1"/>
        <c:lblAlgn val="ctr"/>
        <c:lblOffset val="100"/>
        <c:noMultiLvlLbl val="0"/>
      </c:catAx>
      <c:valAx>
        <c:axId val="390900112"/>
        <c:scaling>
          <c:orientation val="minMax"/>
          <c:max val="7500"/>
          <c:min val="5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90899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9</xdr:col>
      <xdr:colOff>57151</xdr:colOff>
      <xdr:row>2</xdr:row>
      <xdr:rowOff>57150</xdr:rowOff>
    </xdr:from>
    <xdr:to>
      <xdr:col>21</xdr:col>
      <xdr:colOff>561975</xdr:colOff>
      <xdr:row>50</xdr:row>
      <xdr:rowOff>21167</xdr:rowOff>
    </xdr:to>
    <xdr:graphicFrame macro="">
      <xdr:nvGraphicFramePr>
        <xdr:cNvPr id="2" name="Chart 1">
          <a:extLst>
            <a:ext uri="{FF2B5EF4-FFF2-40B4-BE49-F238E27FC236}">
              <a16:creationId xmlns:a16="http://schemas.microsoft.com/office/drawing/2014/main" id="{759E81FD-B657-4929-9363-5FF8CB462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0</xdr:colOff>
      <xdr:row>16</xdr:row>
      <xdr:rowOff>123824</xdr:rowOff>
    </xdr:from>
    <xdr:to>
      <xdr:col>35</xdr:col>
      <xdr:colOff>0</xdr:colOff>
      <xdr:row>60</xdr:row>
      <xdr:rowOff>95249</xdr:rowOff>
    </xdr:to>
    <xdr:graphicFrame macro="">
      <xdr:nvGraphicFramePr>
        <xdr:cNvPr id="3" name="Chart 2">
          <a:extLst>
            <a:ext uri="{FF2B5EF4-FFF2-40B4-BE49-F238E27FC236}">
              <a16:creationId xmlns:a16="http://schemas.microsoft.com/office/drawing/2014/main" id="{6F3164AF-BA63-49D2-9B60-04E791DD4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2</xdr:row>
      <xdr:rowOff>38100</xdr:rowOff>
    </xdr:from>
    <xdr:to>
      <xdr:col>35</xdr:col>
      <xdr:colOff>0</xdr:colOff>
      <xdr:row>16</xdr:row>
      <xdr:rowOff>76200</xdr:rowOff>
    </xdr:to>
    <xdr:graphicFrame macro="">
      <xdr:nvGraphicFramePr>
        <xdr:cNvPr id="4" name="Chart 3">
          <a:extLst>
            <a:ext uri="{FF2B5EF4-FFF2-40B4-BE49-F238E27FC236}">
              <a16:creationId xmlns:a16="http://schemas.microsoft.com/office/drawing/2014/main" id="{DFB9DA94-467B-44E1-BAE2-10A723B48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1</xdr:row>
      <xdr:rowOff>85725</xdr:rowOff>
    </xdr:from>
    <xdr:to>
      <xdr:col>18</xdr:col>
      <xdr:colOff>333375</xdr:colOff>
      <xdr:row>40</xdr:row>
      <xdr:rowOff>114300</xdr:rowOff>
    </xdr:to>
    <xdr:graphicFrame macro="">
      <xdr:nvGraphicFramePr>
        <xdr:cNvPr id="2" name="Chart 1">
          <a:extLst>
            <a:ext uri="{FF2B5EF4-FFF2-40B4-BE49-F238E27FC236}">
              <a16:creationId xmlns:a16="http://schemas.microsoft.com/office/drawing/2014/main" id="{93CB539A-0C77-4EAB-83AD-20D78CCCB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9</xdr:row>
      <xdr:rowOff>76200</xdr:rowOff>
    </xdr:from>
    <xdr:to>
      <xdr:col>31</xdr:col>
      <xdr:colOff>209550</xdr:colOff>
      <xdr:row>49</xdr:row>
      <xdr:rowOff>19050</xdr:rowOff>
    </xdr:to>
    <xdr:graphicFrame macro="">
      <xdr:nvGraphicFramePr>
        <xdr:cNvPr id="3" name="Chart 2">
          <a:extLst>
            <a:ext uri="{FF2B5EF4-FFF2-40B4-BE49-F238E27FC236}">
              <a16:creationId xmlns:a16="http://schemas.microsoft.com/office/drawing/2014/main" id="{E859186B-A102-4FE5-BB8B-7315F1646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1</xdr:row>
      <xdr:rowOff>1</xdr:rowOff>
    </xdr:from>
    <xdr:to>
      <xdr:col>31</xdr:col>
      <xdr:colOff>209550</xdr:colOff>
      <xdr:row>9</xdr:row>
      <xdr:rowOff>28575</xdr:rowOff>
    </xdr:to>
    <xdr:graphicFrame macro="">
      <xdr:nvGraphicFramePr>
        <xdr:cNvPr id="4" name="Chart 3">
          <a:extLst>
            <a:ext uri="{FF2B5EF4-FFF2-40B4-BE49-F238E27FC236}">
              <a16:creationId xmlns:a16="http://schemas.microsoft.com/office/drawing/2014/main" id="{72F0389D-C54A-463E-B00A-EB5B1C85F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18</xdr:row>
      <xdr:rowOff>0</xdr:rowOff>
    </xdr:from>
    <xdr:to>
      <xdr:col>22</xdr:col>
      <xdr:colOff>209550</xdr:colOff>
      <xdr:row>32</xdr:row>
      <xdr:rowOff>95250</xdr:rowOff>
    </xdr:to>
    <xdr:graphicFrame macro="">
      <xdr:nvGraphicFramePr>
        <xdr:cNvPr id="2" name="Chart 1">
          <a:extLst>
            <a:ext uri="{FF2B5EF4-FFF2-40B4-BE49-F238E27FC236}">
              <a16:creationId xmlns:a16="http://schemas.microsoft.com/office/drawing/2014/main" id="{428989C7-A759-436F-A1C3-C2816A3B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32</xdr:row>
      <xdr:rowOff>133350</xdr:rowOff>
    </xdr:from>
    <xdr:to>
      <xdr:col>22</xdr:col>
      <xdr:colOff>209550</xdr:colOff>
      <xdr:row>65</xdr:row>
      <xdr:rowOff>104775</xdr:rowOff>
    </xdr:to>
    <xdr:graphicFrame macro="">
      <xdr:nvGraphicFramePr>
        <xdr:cNvPr id="3" name="Chart 2">
          <a:extLst>
            <a:ext uri="{FF2B5EF4-FFF2-40B4-BE49-F238E27FC236}">
              <a16:creationId xmlns:a16="http://schemas.microsoft.com/office/drawing/2014/main" id="{70737B69-B427-4760-9E0C-41F0D527F4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18</xdr:row>
      <xdr:rowOff>0</xdr:rowOff>
    </xdr:from>
    <xdr:to>
      <xdr:col>35</xdr:col>
      <xdr:colOff>209550</xdr:colOff>
      <xdr:row>32</xdr:row>
      <xdr:rowOff>95250</xdr:rowOff>
    </xdr:to>
    <xdr:graphicFrame macro="">
      <xdr:nvGraphicFramePr>
        <xdr:cNvPr id="4" name="Chart 3">
          <a:extLst>
            <a:ext uri="{FF2B5EF4-FFF2-40B4-BE49-F238E27FC236}">
              <a16:creationId xmlns:a16="http://schemas.microsoft.com/office/drawing/2014/main" id="{29A83544-2664-4B02-8B7D-B8CE1120F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0</xdr:colOff>
      <xdr:row>32</xdr:row>
      <xdr:rowOff>133350</xdr:rowOff>
    </xdr:from>
    <xdr:to>
      <xdr:col>35</xdr:col>
      <xdr:colOff>209550</xdr:colOff>
      <xdr:row>65</xdr:row>
      <xdr:rowOff>104775</xdr:rowOff>
    </xdr:to>
    <xdr:graphicFrame macro="">
      <xdr:nvGraphicFramePr>
        <xdr:cNvPr id="5" name="Chart 4">
          <a:extLst>
            <a:ext uri="{FF2B5EF4-FFF2-40B4-BE49-F238E27FC236}">
              <a16:creationId xmlns:a16="http://schemas.microsoft.com/office/drawing/2014/main" id="{032C79EC-570B-46F7-906F-EAA338DED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1</xdr:colOff>
      <xdr:row>17</xdr:row>
      <xdr:rowOff>190499</xdr:rowOff>
    </xdr:from>
    <xdr:to>
      <xdr:col>46</xdr:col>
      <xdr:colOff>590551</xdr:colOff>
      <xdr:row>37</xdr:row>
      <xdr:rowOff>123825</xdr:rowOff>
    </xdr:to>
    <xdr:graphicFrame macro="">
      <xdr:nvGraphicFramePr>
        <xdr:cNvPr id="6" name="Chart 5">
          <a:extLst>
            <a:ext uri="{FF2B5EF4-FFF2-40B4-BE49-F238E27FC236}">
              <a16:creationId xmlns:a16="http://schemas.microsoft.com/office/drawing/2014/main" id="{A78888A9-8BAC-4D09-A01E-702B1FDEF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67</xdr:row>
      <xdr:rowOff>0</xdr:rowOff>
    </xdr:from>
    <xdr:to>
      <xdr:col>22</xdr:col>
      <xdr:colOff>209550</xdr:colOff>
      <xdr:row>82</xdr:row>
      <xdr:rowOff>95250</xdr:rowOff>
    </xdr:to>
    <xdr:graphicFrame macro="">
      <xdr:nvGraphicFramePr>
        <xdr:cNvPr id="7" name="Chart 7">
          <a:extLst>
            <a:ext uri="{FF2B5EF4-FFF2-40B4-BE49-F238E27FC236}">
              <a16:creationId xmlns:a16="http://schemas.microsoft.com/office/drawing/2014/main" id="{5FC3F4C6-16B7-408B-BB0F-F27C0E4D4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82</xdr:row>
      <xdr:rowOff>133350</xdr:rowOff>
    </xdr:from>
    <xdr:to>
      <xdr:col>22</xdr:col>
      <xdr:colOff>209550</xdr:colOff>
      <xdr:row>115</xdr:row>
      <xdr:rowOff>123825</xdr:rowOff>
    </xdr:to>
    <xdr:graphicFrame macro="">
      <xdr:nvGraphicFramePr>
        <xdr:cNvPr id="8" name="Chart 8">
          <a:extLst>
            <a:ext uri="{FF2B5EF4-FFF2-40B4-BE49-F238E27FC236}">
              <a16:creationId xmlns:a16="http://schemas.microsoft.com/office/drawing/2014/main" id="{32BBB042-B544-4D6F-82DE-A936EFF69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381000</xdr:colOff>
      <xdr:row>66</xdr:row>
      <xdr:rowOff>152400</xdr:rowOff>
    </xdr:from>
    <xdr:to>
      <xdr:col>35</xdr:col>
      <xdr:colOff>8164</xdr:colOff>
      <xdr:row>103</xdr:row>
      <xdr:rowOff>152400</xdr:rowOff>
    </xdr:to>
    <xdr:graphicFrame macro="">
      <xdr:nvGraphicFramePr>
        <xdr:cNvPr id="9" name="Chart 10">
          <a:extLst>
            <a:ext uri="{FF2B5EF4-FFF2-40B4-BE49-F238E27FC236}">
              <a16:creationId xmlns:a16="http://schemas.microsoft.com/office/drawing/2014/main" id="{919B3CD2-8C45-4848-B727-3AA84CFD7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35</xdr:col>
      <xdr:colOff>104775</xdr:colOff>
      <xdr:row>66</xdr:row>
      <xdr:rowOff>152400</xdr:rowOff>
    </xdr:from>
    <xdr:to>
      <xdr:col>47</xdr:col>
      <xdr:colOff>341539</xdr:colOff>
      <xdr:row>103</xdr:row>
      <xdr:rowOff>152400</xdr:rowOff>
    </xdr:to>
    <xdr:graphicFrame macro="">
      <xdr:nvGraphicFramePr>
        <xdr:cNvPr id="10" name="Chart 11">
          <a:extLst>
            <a:ext uri="{FF2B5EF4-FFF2-40B4-BE49-F238E27FC236}">
              <a16:creationId xmlns:a16="http://schemas.microsoft.com/office/drawing/2014/main" id="{5EAD085A-8B9F-4598-ABB1-60CA938FA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35</xdr:col>
      <xdr:colOff>105334</xdr:colOff>
      <xdr:row>104</xdr:row>
      <xdr:rowOff>44824</xdr:rowOff>
    </xdr:from>
    <xdr:to>
      <xdr:col>47</xdr:col>
      <xdr:colOff>337617</xdr:colOff>
      <xdr:row>141</xdr:row>
      <xdr:rowOff>44823</xdr:rowOff>
    </xdr:to>
    <xdr:graphicFrame macro="">
      <xdr:nvGraphicFramePr>
        <xdr:cNvPr id="11" name="Chart 12">
          <a:extLst>
            <a:ext uri="{FF2B5EF4-FFF2-40B4-BE49-F238E27FC236}">
              <a16:creationId xmlns:a16="http://schemas.microsoft.com/office/drawing/2014/main" id="{99529C8A-C25A-46CC-9410-3AE3FB51F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tas/Documents/14%20-%20&#920;&#917;&#924;&#913;&#932;&#913;%20&#916;&#921;&#922;&#932;&#933;&#927;&#933;/3-&#917;&#934;&#913;&#929;&#924;&#927;&#915;&#919;%20&#922;&#916;&#916;/&#917;&#915;&#935;&#917;&#921;&#929;&#921;&#916;&#921;&#913;/&#917;&#915;&#935;.%20&#935;&#935;&#916;/2021/Models-Working/XXD_Analysis_Mar18_v6%20rae_wc5_&#916;&#9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orge/OneDrive/Enargia/Projects/DEDDIE/H1_18/Analyses/20160929_Customers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ikol/Documents/NK_RAE/KANTAS/14%20-%20&#920;&#917;&#924;&#913;&#932;&#913;%20&#916;&#921;&#922;&#932;&#933;&#927;&#933;/4-&#922;&#927;&#931;&#932;&#927;&#931;%20&amp;%20&#935;&#929;&#917;&#937;&#931;&#917;&#921;&#931;%20&#935;&#929;&#919;&#931;&#919;&#931;/2021-2024/4-&#917;&#928;&#917;&#926;&#917;&#929;&#915;&#913;&#931;&#921;&#913;/&#918;&#919;&#932;&#919;&#931;&#919;%20-%20&#935;&#935;&#916;/2020-11-26--&#917;&#928;&#921;&#924;&#917;&#929;&#921;&#931;&#924;&#927;&#931;%20&#924;&#932;-&#935;&#9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ΔΔ_5_2021&gt;"/>
      <sheetName val="RAE_Σενάρια_ΔΔ"/>
      <sheetName val="RAE_Μετάβαση_ΔΔ"/>
      <sheetName val="RAE_Βελτιώσεις_ΔΔ"/>
      <sheetName val="Οδηγίες"/>
      <sheetName val="RAE_Main&gt;"/>
      <sheetName val="RAE_Categories"/>
      <sheetName val="Επιμερισμός_Περιγραφή"/>
      <sheetName val="Περίοδοι_Αιχμής_Περιγραφή"/>
      <sheetName val="Results_Main"/>
      <sheetName val="RAE_Σενάρια_1"/>
      <sheetName val="RAE_Σενάρια_2"/>
      <sheetName val="RAE_Σενάρια_1Α"/>
      <sheetName val="RAE_Σενάρια_Κενό"/>
      <sheetName val="RAE_Μετάβαση_Περιγραφή"/>
      <sheetName val="RAE_Μετάβαση (online)"/>
      <sheetName val="RAE_Μετάβαση (static)"/>
      <sheetName val="RAE_Βελτιώσεις_Περιγραφή"/>
      <sheetName val="ΔΕΔΔΗΕ_Ευρήματα"/>
      <sheetName val="RAE_Βελτιώσεις"/>
      <sheetName val="RAE_Aux&gt;"/>
      <sheetName val="Λειτ_Κόστος_ανά_Δραστηριότητα"/>
      <sheetName val="RR_Current_Allocation"/>
      <sheetName val="RAE_Μετάβαση (not used)"/>
      <sheetName val="Critical_Hours_No_Weights_RAE"/>
      <sheetName val="Critical_Hours_No_Weights_orig"/>
      <sheetName val="RAE_Total_Load_inclLosses"/>
      <sheetName val="RAE_Critical_Hours_Load_incLoss"/>
      <sheetName val="ΔΕΔΔΗΕ&gt;"/>
      <sheetName val="Data_Input"/>
      <sheetName val="Data_DXD"/>
      <sheetName val="Data_MV_Active"/>
      <sheetName val="Data_MV_Reactive"/>
      <sheetName val="Data_Hourly_LV_Initial"/>
      <sheetName val="Data_Reactive_LV_Initial"/>
      <sheetName val="Data_Hourly_LV"/>
      <sheetName val="Data_Reactive_LV"/>
      <sheetName val="Categories"/>
      <sheetName val="Transition_1"/>
      <sheetName val="Transition_2"/>
      <sheetName val="Transition_3"/>
      <sheetName val="Transition_4"/>
      <sheetName val="Comparison"/>
      <sheetName val="Results_Addl"/>
      <sheetName val="Gen_Stats"/>
      <sheetName val="Match_Dates"/>
      <sheetName val="MV_Load_Assist"/>
      <sheetName val="MV_Load_React_Assist"/>
      <sheetName val="LV_Load_Assist"/>
      <sheetName val="Critical_Hours_Assist"/>
      <sheetName val="Critical_Hours_Assist2"/>
      <sheetName val="Critical_Hours"/>
      <sheetName val="FOP_Hours"/>
      <sheetName val="FOP_on"/>
      <sheetName val="LV_FOP_NonH_Profile"/>
      <sheetName val="LV_Agric_Hourly_Assist"/>
      <sheetName val="LV_Agric_Reactive_Assist"/>
      <sheetName val="LV_Agric_PowerF"/>
      <sheetName val="LV_Agric_Hourly_Profile"/>
      <sheetName val="LV_Agric_NonH_Profile"/>
      <sheetName val="LV_Rest_Hourly_Assist"/>
      <sheetName val="LV_Rest_Reactive_Assist"/>
      <sheetName val="LV_Rest_PowerF"/>
      <sheetName val="LV_Rest_Hourly_Profile"/>
      <sheetName val="LV_Commerc_Assist"/>
      <sheetName val="LV_Commerc_NonH_Profile"/>
      <sheetName val="LV_Industr_Assist"/>
      <sheetName val="LV_Industr_NonH_Profile"/>
      <sheetName val="MV_Agric_HAct_Assist"/>
      <sheetName val="MV_Agric_HReact_Assist"/>
      <sheetName val="MV_Agric_PowerF"/>
      <sheetName val="MV_Agric_Profile"/>
      <sheetName val="MV_Load"/>
      <sheetName val="LV_Load"/>
      <sheetName val="Total_Load_inclLosses"/>
      <sheetName val="LV_Rest_NonH_Profile"/>
      <sheetName val="MV_Rest_Profile"/>
      <sheetName val="MV_Rest_PowerF"/>
      <sheetName val="Assist"/>
    </sheetNames>
    <sheetDataSet>
      <sheetData sheetId="0"/>
      <sheetData sheetId="1">
        <row r="3">
          <cell r="C3" t="str">
            <v>Τρέχουσα μεθοδολογία</v>
          </cell>
          <cell r="D3" t="str">
            <v>Σενάριο 1</v>
          </cell>
          <cell r="E3" t="str">
            <v>Σενάριο 1A</v>
          </cell>
          <cell r="F3" t="str">
            <v>Σενάριο 2</v>
          </cell>
          <cell r="G3" t="str">
            <v>Σενάριο 2A</v>
          </cell>
          <cell r="H3" t="str">
            <v>Σενάριο 3</v>
          </cell>
          <cell r="I3" t="str">
            <v>Σενάριο 3A</v>
          </cell>
        </row>
        <row r="30">
          <cell r="B30" t="str">
            <v>ΧΤ Αγροτικοί Χωρίς Ωριαίο Μετρητή</v>
          </cell>
          <cell r="C30">
            <v>0</v>
          </cell>
          <cell r="D30">
            <v>3.2295191008031545</v>
          </cell>
          <cell r="E30">
            <v>1.2153208834686131</v>
          </cell>
          <cell r="F30">
            <v>1.6415386928713771</v>
          </cell>
          <cell r="G30">
            <v>1.2153208834686131</v>
          </cell>
          <cell r="H30">
            <v>5.2759632442590059</v>
          </cell>
          <cell r="I30">
            <v>1.2153208834686131</v>
          </cell>
        </row>
        <row r="31">
          <cell r="B31" t="str">
            <v>ΧΤ Εμπορικοί χωρίς Ωριαίο Μετρητή</v>
          </cell>
          <cell r="C31">
            <v>23.359553508548991</v>
          </cell>
          <cell r="D31">
            <v>20.026108548413291</v>
          </cell>
          <cell r="E31">
            <v>20.146075398521386</v>
          </cell>
          <cell r="F31">
            <v>20.005248668182968</v>
          </cell>
          <cell r="G31">
            <v>20.030573240152997</v>
          </cell>
          <cell r="H31">
            <v>20.053766969256806</v>
          </cell>
          <cell r="I31">
            <v>20.296336321040553</v>
          </cell>
        </row>
        <row r="32">
          <cell r="B32" t="str">
            <v>ΧΤ Βιομηχανικοί χωρίς Ωριαίο Μετρητή</v>
          </cell>
          <cell r="C32">
            <v>21.35504929512927</v>
          </cell>
          <cell r="D32">
            <v>20.947419576122869</v>
          </cell>
          <cell r="E32">
            <v>21.067386426230968</v>
          </cell>
          <cell r="F32">
            <v>21.054624358086247</v>
          </cell>
          <cell r="G32">
            <v>21.079948930056275</v>
          </cell>
          <cell r="H32">
            <v>20.810103378206822</v>
          </cell>
          <cell r="I32">
            <v>21.052672729990572</v>
          </cell>
        </row>
        <row r="33">
          <cell r="B33" t="str">
            <v>ΧΤ ΦΟΠ, χωρίς Ωριαίο Μετρητή</v>
          </cell>
          <cell r="C33">
            <v>23.697813389268671</v>
          </cell>
          <cell r="D33">
            <v>19.170632056862726</v>
          </cell>
          <cell r="E33">
            <v>19.290598906970821</v>
          </cell>
          <cell r="F33">
            <v>19.099421622667947</v>
          </cell>
          <cell r="G33">
            <v>19.124746194637975</v>
          </cell>
          <cell r="H33">
            <v>19.263152737929552</v>
          </cell>
          <cell r="I33">
            <v>19.505722089713306</v>
          </cell>
        </row>
        <row r="34">
          <cell r="B34" t="str">
            <v>ΧΤ Λοιποί χωρίς Ωριαίο Μετρητή</v>
          </cell>
          <cell r="C34">
            <v>21.342171287931528</v>
          </cell>
          <cell r="D34">
            <v>23.570944860149808</v>
          </cell>
          <cell r="E34">
            <v>23.6909117102579</v>
          </cell>
          <cell r="F34">
            <v>23.772621619752528</v>
          </cell>
          <cell r="G34">
            <v>23.797946191722556</v>
          </cell>
          <cell r="H34">
            <v>23.31192859113267</v>
          </cell>
          <cell r="I34">
            <v>23.554497942916417</v>
          </cell>
        </row>
        <row r="35">
          <cell r="B35" t="str">
            <v>ΧΤ Αγροτικοί με Ωριαίο Μετρητή</v>
          </cell>
          <cell r="C35">
            <v>0</v>
          </cell>
          <cell r="D35">
            <v>2.170720100442407</v>
          </cell>
          <cell r="E35">
            <v>0.15652188310786574</v>
          </cell>
          <cell r="F35">
            <v>0.58273969251062974</v>
          </cell>
          <cell r="G35">
            <v>0.15652188310786574</v>
          </cell>
          <cell r="H35">
            <v>4.2171642438982584</v>
          </cell>
          <cell r="I35">
            <v>0.15652188310786574</v>
          </cell>
        </row>
        <row r="36">
          <cell r="B36" t="str">
            <v>ΧΤ Λοιποί με Ωριαίο Μετρητή</v>
          </cell>
          <cell r="C36">
            <v>23.39614971729474</v>
          </cell>
          <cell r="D36">
            <v>18.602949178602461</v>
          </cell>
          <cell r="E36">
            <v>18.722916028710554</v>
          </cell>
          <cell r="F36">
            <v>18.55013175089206</v>
          </cell>
          <cell r="G36">
            <v>18.575456322862092</v>
          </cell>
          <cell r="H36">
            <v>18.671775741552501</v>
          </cell>
          <cell r="I36">
            <v>18.914345093336248</v>
          </cell>
        </row>
        <row r="37">
          <cell r="B37" t="str">
            <v>MΤ Αγροτικοί με Ωριαίο Μετρητή</v>
          </cell>
          <cell r="C37">
            <v>0</v>
          </cell>
          <cell r="D37">
            <v>1.1420434736950125</v>
          </cell>
          <cell r="E37">
            <v>0.33127442638947618</v>
          </cell>
          <cell r="F37">
            <v>0.51208075873951719</v>
          </cell>
          <cell r="G37">
            <v>0.33127442638947618</v>
          </cell>
          <cell r="H37">
            <v>1.8578336113341414</v>
          </cell>
          <cell r="I37">
            <v>0.33127442638947618</v>
          </cell>
        </row>
        <row r="38">
          <cell r="B38" t="str">
            <v>MΤ Λοιποί με Ωριαίο Μετρητή</v>
          </cell>
          <cell r="C38">
            <v>6.1592410777092264</v>
          </cell>
          <cell r="D38">
            <v>6.4534987570771545</v>
          </cell>
          <cell r="E38">
            <v>6.4989673706036299</v>
          </cell>
          <cell r="F38">
            <v>6.4610219467840979</v>
          </cell>
          <cell r="G38">
            <v>6.4711617187402242</v>
          </cell>
          <cell r="H38">
            <v>6.4449505924509367</v>
          </cell>
          <cell r="I38">
            <v>6.5305613219628915</v>
          </cell>
        </row>
        <row r="41">
          <cell r="B41" t="str">
            <v>ΧΤ Αγροτικοί Χωρίς Ωριαίο Μετρητή</v>
          </cell>
          <cell r="C41">
            <v>0</v>
          </cell>
          <cell r="D41">
            <v>18.595305745866163</v>
          </cell>
          <cell r="E41">
            <v>6.997717834155182</v>
          </cell>
          <cell r="F41">
            <v>9.4518449759351029</v>
          </cell>
          <cell r="G41">
            <v>6.997717834155182</v>
          </cell>
          <cell r="H41">
            <v>30.378563051864131</v>
          </cell>
          <cell r="I41">
            <v>6.997717834155182</v>
          </cell>
        </row>
        <row r="42">
          <cell r="B42" t="str">
            <v>ΧΤ Εμπορικοί χωρίς Ωριαίο Μετρητή</v>
          </cell>
          <cell r="C42">
            <v>142.0775195537469</v>
          </cell>
          <cell r="D42">
            <v>121.80283445192374</v>
          </cell>
          <cell r="E42">
            <v>122.53249704953275</v>
          </cell>
          <cell r="F42">
            <v>121.67596044980603</v>
          </cell>
          <cell r="G42">
            <v>121.82998960828053</v>
          </cell>
          <cell r="H42">
            <v>121.97105855033307</v>
          </cell>
          <cell r="I42">
            <v>123.44641431038998</v>
          </cell>
        </row>
        <row r="43">
          <cell r="B43" t="str">
            <v>ΧΤ Βιομηχανικοί χωρίς Ωριαίο Μετρητή</v>
          </cell>
          <cell r="C43">
            <v>215.34921203477913</v>
          </cell>
          <cell r="D43">
            <v>211.23858051261223</v>
          </cell>
          <cell r="E43">
            <v>212.44835372755702</v>
          </cell>
          <cell r="F43">
            <v>212.3196581071013</v>
          </cell>
          <cell r="G43">
            <v>212.57503689567227</v>
          </cell>
          <cell r="H43">
            <v>209.85385249760469</v>
          </cell>
          <cell r="I43">
            <v>212.29997744203791</v>
          </cell>
        </row>
        <row r="44">
          <cell r="B44" t="str">
            <v>ΧΤ ΦΟΠ, χωρίς Ωριαίο Μετρητή</v>
          </cell>
          <cell r="C44">
            <v>198.17409711928002</v>
          </cell>
          <cell r="D44">
            <v>160.3153268476278</v>
          </cell>
          <cell r="E44">
            <v>161.31855536554588</v>
          </cell>
          <cell r="F44">
            <v>159.71982618812757</v>
          </cell>
          <cell r="G44">
            <v>159.93160413163037</v>
          </cell>
          <cell r="H44">
            <v>161.08903546513181</v>
          </cell>
          <cell r="I44">
            <v>163.11753326317432</v>
          </cell>
        </row>
        <row r="45">
          <cell r="B45" t="str">
            <v>ΧΤ Λοιποί χωρίς Ωριαίο Μετρητή</v>
          </cell>
          <cell r="C45">
            <v>64.90549642814355</v>
          </cell>
          <cell r="D45">
            <v>71.683609731570925</v>
          </cell>
          <cell r="E45">
            <v>72.048451146070747</v>
          </cell>
          <cell r="F45">
            <v>72.296946117238292</v>
          </cell>
          <cell r="G45">
            <v>72.373962831862571</v>
          </cell>
          <cell r="H45">
            <v>70.895893275887261</v>
          </cell>
          <cell r="I45">
            <v>71.6335916095465</v>
          </cell>
        </row>
        <row r="46">
          <cell r="B46" t="str">
            <v>ΧΤ Αγροτικοί με Ωριαίο Μετρητή</v>
          </cell>
          <cell r="C46">
            <v>0</v>
          </cell>
          <cell r="D46">
            <v>97.047687251225042</v>
          </cell>
          <cell r="E46">
            <v>6.997717834155182</v>
          </cell>
          <cell r="F46">
            <v>26.052893422841876</v>
          </cell>
          <cell r="G46">
            <v>6.997717834155182</v>
          </cell>
          <cell r="H46">
            <v>188.53929465409934</v>
          </cell>
          <cell r="I46">
            <v>6.997717834155182</v>
          </cell>
        </row>
        <row r="47">
          <cell r="B47" t="str">
            <v>ΧΤ Λοιποί με Ωριαίο Μετρητή</v>
          </cell>
          <cell r="C47">
            <v>2299.0883513595377</v>
          </cell>
          <cell r="D47">
            <v>1828.0710405029756</v>
          </cell>
          <cell r="E47">
            <v>1839.8599199111513</v>
          </cell>
          <cell r="F47">
            <v>1822.8807876509011</v>
          </cell>
          <cell r="G47">
            <v>1825.3693778301827</v>
          </cell>
          <cell r="H47">
            <v>1834.8344759850791</v>
          </cell>
          <cell r="I47">
            <v>1858.6712345039643</v>
          </cell>
        </row>
        <row r="48">
          <cell r="B48" t="str">
            <v>MΤ Αγροτικοί με Ωριαίο Μετρητή</v>
          </cell>
          <cell r="C48">
            <v>0</v>
          </cell>
          <cell r="D48">
            <v>843.28604516656912</v>
          </cell>
          <cell r="E48">
            <v>244.61336834311186</v>
          </cell>
          <cell r="F48">
            <v>378.120945296576</v>
          </cell>
          <cell r="G48">
            <v>244.61336834311186</v>
          </cell>
          <cell r="H48">
            <v>1371.8261999349097</v>
          </cell>
          <cell r="I48">
            <v>244.61336834311186</v>
          </cell>
        </row>
        <row r="49">
          <cell r="B49" t="str">
            <v>MΤ Λοιποί με Ωριαίο Μετρητή</v>
          </cell>
          <cell r="C49">
            <v>5823.865331650808</v>
          </cell>
          <cell r="D49">
            <v>6102.100438187711</v>
          </cell>
          <cell r="E49">
            <v>6145.0932482846265</v>
          </cell>
          <cell r="F49">
            <v>6109.213984023133</v>
          </cell>
          <cell r="G49">
            <v>6118.8016370506866</v>
          </cell>
          <cell r="H49">
            <v>6094.0177281609767</v>
          </cell>
          <cell r="I49">
            <v>6174.9668829889033</v>
          </cell>
        </row>
      </sheetData>
      <sheetData sheetId="2">
        <row r="24">
          <cell r="C24" t="str">
            <v>Τρέχουσα μεθοδολογία</v>
          </cell>
          <cell r="D24" t="str">
            <v>Έτος 1</v>
          </cell>
          <cell r="E24" t="str">
            <v>Έτος 2</v>
          </cell>
          <cell r="F24" t="str">
            <v>Έτος 3</v>
          </cell>
          <cell r="G24" t="str">
            <v>Έτος 4</v>
          </cell>
        </row>
        <row r="37">
          <cell r="B37" t="str">
            <v>Σταθερή χρέωση (ανά μετρητή)</v>
          </cell>
          <cell r="C37">
            <v>0</v>
          </cell>
          <cell r="D37">
            <v>1.8574177241462746E-2</v>
          </cell>
          <cell r="E37">
            <v>3.7148354482925493E-2</v>
          </cell>
          <cell r="F37">
            <v>7.4296708965850985E-2</v>
          </cell>
          <cell r="G37">
            <v>7.4296708965850985E-2</v>
          </cell>
        </row>
        <row r="38">
          <cell r="B38" t="str">
            <v>Πάγια χρέωση (βάσει Συμφωνημένης Ισχύος)</v>
          </cell>
          <cell r="C38">
            <v>0.12971047887917198</v>
          </cell>
          <cell r="D38">
            <v>0.24620759604850972</v>
          </cell>
          <cell r="E38">
            <v>0.38546141184708244</v>
          </cell>
          <cell r="F38">
            <v>0.6639690434442278</v>
          </cell>
          <cell r="G38">
            <v>0.6639690434442278</v>
          </cell>
        </row>
        <row r="39">
          <cell r="B39" t="str">
            <v>Πάγια χρέωση (βάσει Μέσου Φορτίου Αιχμής)</v>
          </cell>
          <cell r="C39">
            <v>4.4037111395778782E-2</v>
          </cell>
          <cell r="D39">
            <v>9.0528919416240514E-2</v>
          </cell>
          <cell r="E39">
            <v>0.11426402880746735</v>
          </cell>
          <cell r="F39">
            <v>0.16173424758992103</v>
          </cell>
          <cell r="G39">
            <v>0.16173424758992103</v>
          </cell>
        </row>
        <row r="40">
          <cell r="B40" t="str">
            <v>Μεταβλητή χρέωση (βάσει ενέργειας)</v>
          </cell>
          <cell r="C40">
            <v>0.82625240972504921</v>
          </cell>
          <cell r="D40">
            <v>0.64468930729378682</v>
          </cell>
          <cell r="E40">
            <v>0.46312620486252459</v>
          </cell>
          <cell r="F40">
            <v>0.10000000000000003</v>
          </cell>
          <cell r="G40">
            <v>0.10000000000000003</v>
          </cell>
        </row>
        <row r="43">
          <cell r="B43" t="str">
            <v>ΧΤ Αγροτικοί Χωρίς Ωριαίο Μετρητή</v>
          </cell>
          <cell r="C43">
            <v>0</v>
          </cell>
          <cell r="D43">
            <v>0.30383022086715328</v>
          </cell>
          <cell r="E43">
            <v>0.60766044173430656</v>
          </cell>
          <cell r="F43">
            <v>1.2153208834686131</v>
          </cell>
          <cell r="G43">
            <v>1.2153208834686131</v>
          </cell>
        </row>
        <row r="44">
          <cell r="B44" t="str">
            <v>ΧΤ Εμπορικοί χωρίς Ωριαίο Μετρητή</v>
          </cell>
          <cell r="C44">
            <v>22.177349975607132</v>
          </cell>
          <cell r="D44">
            <v>21.669531331335694</v>
          </cell>
          <cell r="E44">
            <v>21.161712687064259</v>
          </cell>
          <cell r="F44">
            <v>20.146075398521386</v>
          </cell>
          <cell r="G44">
            <v>20.146075398521386</v>
          </cell>
        </row>
        <row r="45">
          <cell r="B45" t="str">
            <v>ΧΤ Βιομηχανικοί χωρίς Ωριαίο Μετρητή</v>
          </cell>
          <cell r="C45">
            <v>22.177349975607132</v>
          </cell>
          <cell r="D45">
            <v>21.899859088263089</v>
          </cell>
          <cell r="E45">
            <v>21.622368200919052</v>
          </cell>
          <cell r="F45">
            <v>21.067386426230968</v>
          </cell>
          <cell r="G45">
            <v>21.067386426230968</v>
          </cell>
        </row>
        <row r="46">
          <cell r="B46" t="str">
            <v>ΧΤ ΦΟΠ, χωρίς Ωριαίο Μετρητή</v>
          </cell>
          <cell r="C46">
            <v>22.177349975607129</v>
          </cell>
          <cell r="D46">
            <v>21.45566220844805</v>
          </cell>
          <cell r="E46">
            <v>20.733974441288975</v>
          </cell>
          <cell r="F46">
            <v>19.290598906970821</v>
          </cell>
          <cell r="G46">
            <v>19.290598906970821</v>
          </cell>
        </row>
        <row r="47">
          <cell r="B47" t="str">
            <v>ΧΤ Λοιποί χωρίς Ωριαίο Μετρητή</v>
          </cell>
          <cell r="C47">
            <v>22.177349975607125</v>
          </cell>
          <cell r="D47">
            <v>22.55574040926982</v>
          </cell>
          <cell r="E47">
            <v>22.934130842932515</v>
          </cell>
          <cell r="F47">
            <v>23.6909117102579</v>
          </cell>
          <cell r="G47">
            <v>23.6909117102579</v>
          </cell>
        </row>
        <row r="48">
          <cell r="B48" t="str">
            <v>ΧΤ Αγροτικοί με Ωριαίο Μετρητή</v>
          </cell>
          <cell r="C48">
            <v>0</v>
          </cell>
          <cell r="D48">
            <v>3.9130470776966436E-2</v>
          </cell>
          <cell r="E48">
            <v>7.8260941553932872E-2</v>
          </cell>
          <cell r="F48">
            <v>0.15652188310786574</v>
          </cell>
          <cell r="G48">
            <v>0.15652188310786574</v>
          </cell>
        </row>
        <row r="49">
          <cell r="B49" t="str">
            <v>ΧΤ Λοιποί με Ωριαίο Μετρητή</v>
          </cell>
          <cell r="C49">
            <v>22.177349975607129</v>
          </cell>
          <cell r="D49">
            <v>21.313741488882989</v>
          </cell>
          <cell r="E49">
            <v>20.450133002158843</v>
          </cell>
          <cell r="F49">
            <v>18.722916028710554</v>
          </cell>
          <cell r="G49">
            <v>18.722916028710554</v>
          </cell>
        </row>
        <row r="50">
          <cell r="B50" t="str">
            <v>MΤ Αγροτικοί με Ωριαίο Μετρητή</v>
          </cell>
          <cell r="C50">
            <v>0</v>
          </cell>
          <cell r="D50">
            <v>8.2818606597369046E-2</v>
          </cell>
          <cell r="E50">
            <v>0.16563721319473809</v>
          </cell>
          <cell r="F50">
            <v>0.33127442638947618</v>
          </cell>
          <cell r="G50">
            <v>0.33127442638947618</v>
          </cell>
        </row>
        <row r="51">
          <cell r="B51" t="str">
            <v>MΤ Λοιποί με Ωριαίο Μετρητή</v>
          </cell>
          <cell r="C51">
            <v>6.1592410777092255</v>
          </cell>
          <cell r="D51">
            <v>6.2441726509328266</v>
          </cell>
          <cell r="E51">
            <v>6.3291042241564286</v>
          </cell>
          <cell r="F51">
            <v>6.4989673706036299</v>
          </cell>
          <cell r="G51">
            <v>6.4989673706036299</v>
          </cell>
        </row>
        <row r="54">
          <cell r="B54" t="str">
            <v>ΧΤ Αγροτικοί Χωρίς Ωριαίο Μετρητή</v>
          </cell>
          <cell r="C54">
            <v>0</v>
          </cell>
          <cell r="D54">
            <v>1.7494294585387955</v>
          </cell>
          <cell r="E54">
            <v>3.498858917077591</v>
          </cell>
          <cell r="F54">
            <v>6.997717834155182</v>
          </cell>
          <cell r="G54">
            <v>6.997717834155182</v>
          </cell>
        </row>
        <row r="55">
          <cell r="B55" t="str">
            <v>ΧΤ Εμπορικοί χωρίς Ωριαίο Μετρητή</v>
          </cell>
          <cell r="C55">
            <v>134.88711903917434</v>
          </cell>
          <cell r="D55">
            <v>131.79846354176394</v>
          </cell>
          <cell r="E55">
            <v>128.70980804435354</v>
          </cell>
          <cell r="F55">
            <v>122.53249704953275</v>
          </cell>
          <cell r="G55">
            <v>122.53249704953275</v>
          </cell>
        </row>
        <row r="56">
          <cell r="B56" t="str">
            <v>ΧΤ Βιομηχανικοί χωρίς Ωριαίο Μετρητή</v>
          </cell>
          <cell r="C56">
            <v>223.6414805821039</v>
          </cell>
          <cell r="D56">
            <v>220.84319886846717</v>
          </cell>
          <cell r="E56">
            <v>218.04491715483047</v>
          </cell>
          <cell r="F56">
            <v>212.44835372755702</v>
          </cell>
          <cell r="G56">
            <v>212.44835372755702</v>
          </cell>
        </row>
        <row r="57">
          <cell r="B57" t="str">
            <v>ΧΤ ΦΟΠ, χωρίς Ωριαίο Μετρητή</v>
          </cell>
          <cell r="C57">
            <v>185.45914915105428</v>
          </cell>
          <cell r="D57">
            <v>179.42400070467716</v>
          </cell>
          <cell r="E57">
            <v>173.38885225830009</v>
          </cell>
          <cell r="F57">
            <v>161.31855536554588</v>
          </cell>
          <cell r="G57">
            <v>161.31855536554588</v>
          </cell>
        </row>
        <row r="58">
          <cell r="B58" t="str">
            <v>ΧΤ Λοιποί χωρίς Ωριαίο Μετρητή</v>
          </cell>
          <cell r="C58">
            <v>67.445429530472424</v>
          </cell>
          <cell r="D58">
            <v>68.596184934372005</v>
          </cell>
          <cell r="E58">
            <v>69.746940338271585</v>
          </cell>
          <cell r="F58">
            <v>72.048451146070747</v>
          </cell>
          <cell r="G58">
            <v>72.048451146070747</v>
          </cell>
        </row>
        <row r="59">
          <cell r="B59" t="str">
            <v>ΧΤ Αγροτικοί με Ωριαίο Μετρητή</v>
          </cell>
          <cell r="C59">
            <v>0</v>
          </cell>
          <cell r="D59">
            <v>1.7494294585387955</v>
          </cell>
          <cell r="E59">
            <v>3.498858917077591</v>
          </cell>
          <cell r="F59">
            <v>6.997717834155182</v>
          </cell>
          <cell r="G59">
            <v>6.997717834155182</v>
          </cell>
        </row>
        <row r="60">
          <cell r="B60" t="str">
            <v>ΧΤ Λοιποί με Ωριαίο Μετρητή</v>
          </cell>
          <cell r="C60">
            <v>2179.3195721965872</v>
          </cell>
          <cell r="D60">
            <v>2094.4546591252288</v>
          </cell>
          <cell r="E60">
            <v>2009.5897460538695</v>
          </cell>
          <cell r="F60">
            <v>1839.8599199111513</v>
          </cell>
          <cell r="G60">
            <v>1839.8599199111513</v>
          </cell>
        </row>
        <row r="61">
          <cell r="B61" t="str">
            <v>MΤ Αγροτικοί με Ωριαίο Μετρητή</v>
          </cell>
          <cell r="C61">
            <v>0</v>
          </cell>
          <cell r="D61">
            <v>61.153342085777965</v>
          </cell>
          <cell r="E61">
            <v>122.30668417155593</v>
          </cell>
          <cell r="F61">
            <v>244.61336834311186</v>
          </cell>
          <cell r="G61">
            <v>244.61336834311186</v>
          </cell>
        </row>
        <row r="62">
          <cell r="B62" t="str">
            <v>MΤ Λοιποί με Ωριαίο Μετρητή</v>
          </cell>
          <cell r="C62">
            <v>5823.865331650808</v>
          </cell>
          <cell r="D62">
            <v>5904.1723108092619</v>
          </cell>
          <cell r="E62">
            <v>5984.4792899677177</v>
          </cell>
          <cell r="F62">
            <v>6145.0932482846265</v>
          </cell>
          <cell r="G62">
            <v>6145.0932482846265</v>
          </cell>
        </row>
        <row r="65">
          <cell r="B65" t="str">
            <v>ΧΤ Αγροτικοί Χωρίς Ωριαίο Μετρητή</v>
          </cell>
          <cell r="D65">
            <v>1.7494294585387955</v>
          </cell>
          <cell r="E65">
            <v>3.498858917077591</v>
          </cell>
          <cell r="F65">
            <v>6.997717834155182</v>
          </cell>
          <cell r="G65">
            <v>6.997717834155182</v>
          </cell>
        </row>
        <row r="66">
          <cell r="B66" t="str">
            <v>ΧΤ Εμπορικοί χωρίς Ωριαίο Μετρητή</v>
          </cell>
          <cell r="D66">
            <v>1.7494294585387953</v>
          </cell>
          <cell r="E66">
            <v>3.4988589170775906</v>
          </cell>
          <cell r="F66">
            <v>6.9977178341551811</v>
          </cell>
          <cell r="G66">
            <v>6.9977178341551811</v>
          </cell>
        </row>
        <row r="67">
          <cell r="B67" t="str">
            <v>ΧΤ Βιομηχανικοί χωρίς Ωριαίο Μετρητή</v>
          </cell>
          <cell r="D67">
            <v>1.7494294585387953</v>
          </cell>
          <cell r="E67">
            <v>3.4988589170775906</v>
          </cell>
          <cell r="F67">
            <v>6.9977178341551811</v>
          </cell>
          <cell r="G67">
            <v>6.9977178341551811</v>
          </cell>
        </row>
        <row r="68">
          <cell r="B68" t="str">
            <v>ΧΤ ΦΟΠ, χωρίς Ωριαίο Μετρητή</v>
          </cell>
          <cell r="D68">
            <v>1.7494294585387955</v>
          </cell>
          <cell r="E68">
            <v>3.498858917077591</v>
          </cell>
          <cell r="F68">
            <v>6.997717834155182</v>
          </cell>
          <cell r="G68">
            <v>6.997717834155182</v>
          </cell>
        </row>
        <row r="69">
          <cell r="B69" t="str">
            <v>ΧΤ Λοιποί χωρίς Ωριαίο Μετρητή</v>
          </cell>
          <cell r="D69">
            <v>1.7494294585387955</v>
          </cell>
          <cell r="E69">
            <v>3.498858917077591</v>
          </cell>
          <cell r="F69">
            <v>6.997717834155182</v>
          </cell>
          <cell r="G69">
            <v>6.997717834155182</v>
          </cell>
        </row>
        <row r="70">
          <cell r="B70" t="str">
            <v>ΧΤ Αγροτικοί με Ωριαίο Μετρητή</v>
          </cell>
          <cell r="D70">
            <v>1.7494294585387955</v>
          </cell>
          <cell r="E70">
            <v>3.498858917077591</v>
          </cell>
          <cell r="F70">
            <v>6.997717834155182</v>
          </cell>
          <cell r="G70">
            <v>6.997717834155182</v>
          </cell>
        </row>
        <row r="71">
          <cell r="B71" t="str">
            <v>ΧΤ Λοιποί με Ωριαίο Μετρητή</v>
          </cell>
          <cell r="D71">
            <v>1.7494294585387955</v>
          </cell>
          <cell r="E71">
            <v>3.498858917077591</v>
          </cell>
          <cell r="F71">
            <v>6.997717834155182</v>
          </cell>
          <cell r="G71">
            <v>6.997717834155182</v>
          </cell>
        </row>
        <row r="72">
          <cell r="B72" t="str">
            <v>MΤ Αγροτικοί με Ωριαίο Μετρητή</v>
          </cell>
          <cell r="D72">
            <v>61.153342085777965</v>
          </cell>
          <cell r="E72">
            <v>122.30668417155593</v>
          </cell>
          <cell r="F72">
            <v>244.61336834311186</v>
          </cell>
          <cell r="G72">
            <v>244.61336834311186</v>
          </cell>
        </row>
        <row r="73">
          <cell r="B73" t="str">
            <v>MΤ Λοιποί με Ωριαίο Μετρητή</v>
          </cell>
          <cell r="D73">
            <v>61.153342085777972</v>
          </cell>
          <cell r="E73">
            <v>122.30668417155594</v>
          </cell>
          <cell r="F73">
            <v>244.61336834311189</v>
          </cell>
          <cell r="G73">
            <v>244.61336834311189</v>
          </cell>
        </row>
        <row r="87">
          <cell r="B87" t="str">
            <v>ΧΤ Αγροτικοί Χωρίς Ωριαίο Μετρητή</v>
          </cell>
          <cell r="C87">
            <v>0</v>
          </cell>
          <cell r="D87">
            <v>0</v>
          </cell>
          <cell r="E87">
            <v>0</v>
          </cell>
          <cell r="F87">
            <v>0</v>
          </cell>
          <cell r="G87">
            <v>0</v>
          </cell>
        </row>
        <row r="88">
          <cell r="B88" t="str">
            <v>ΧΤ Εμπορικοί χωρίς Ωριαίο Μετρητή</v>
          </cell>
          <cell r="C88">
            <v>1.7741879980485709</v>
          </cell>
          <cell r="D88">
            <v>1.383995125222494</v>
          </cell>
          <cell r="E88">
            <v>0.99380225239641728</v>
          </cell>
          <cell r="F88">
            <v>0.21341650674426371</v>
          </cell>
          <cell r="G88">
            <v>0.21341650674426371</v>
          </cell>
        </row>
        <row r="89">
          <cell r="B89" t="str">
            <v>ΧΤ Βιομηχανικοί χωρίς Ωριαίο Μετρητή</v>
          </cell>
          <cell r="C89">
            <v>1.7741879980485706</v>
          </cell>
          <cell r="D89">
            <v>1.383995125222494</v>
          </cell>
          <cell r="E89">
            <v>0.99380225239641717</v>
          </cell>
          <cell r="F89">
            <v>0.21341650674426371</v>
          </cell>
          <cell r="G89">
            <v>0.21341650674426371</v>
          </cell>
        </row>
        <row r="90">
          <cell r="B90" t="str">
            <v>ΧΤ ΦΟΠ, χωρίς Ωριαίο Μετρητή</v>
          </cell>
          <cell r="C90">
            <v>1.7741879980485702</v>
          </cell>
          <cell r="D90">
            <v>1.3839951252224936</v>
          </cell>
          <cell r="E90">
            <v>0.99380225239641695</v>
          </cell>
          <cell r="F90">
            <v>0.21341650674426371</v>
          </cell>
          <cell r="G90">
            <v>0.21341650674426371</v>
          </cell>
        </row>
        <row r="91">
          <cell r="B91" t="str">
            <v>ΧΤ Λοιποί χωρίς Ωριαίο Μετρητή</v>
          </cell>
          <cell r="C91">
            <v>1.9959614978046414</v>
          </cell>
          <cell r="D91">
            <v>1.550325250039547</v>
          </cell>
          <cell r="E91">
            <v>1.1046890022744527</v>
          </cell>
          <cell r="F91">
            <v>0.21341650674426371</v>
          </cell>
          <cell r="G91">
            <v>0.21341650674426371</v>
          </cell>
        </row>
        <row r="92">
          <cell r="B92" t="str">
            <v>ΧΤ Αγροτικοί με Ωριαίο Μετρητή</v>
          </cell>
          <cell r="C92">
            <v>0</v>
          </cell>
          <cell r="D92">
            <v>0</v>
          </cell>
          <cell r="E92">
            <v>0</v>
          </cell>
          <cell r="F92">
            <v>0</v>
          </cell>
          <cell r="G92">
            <v>0</v>
          </cell>
        </row>
        <row r="93">
          <cell r="B93" t="str">
            <v>ΧΤ Λοιποί με Ωριαίο Μετρητή</v>
          </cell>
          <cell r="C93">
            <v>1.6969061015917912</v>
          </cell>
          <cell r="D93">
            <v>1.3237096492290958</v>
          </cell>
          <cell r="E93">
            <v>0.95051319686640023</v>
          </cell>
          <cell r="F93">
            <v>0.20412029214100935</v>
          </cell>
          <cell r="G93">
            <v>0.20412029214100935</v>
          </cell>
        </row>
        <row r="94">
          <cell r="B94" t="str">
            <v>MΤ Αγροτικοί με Ωριαίο Μετρητή</v>
          </cell>
          <cell r="C94">
            <v>0</v>
          </cell>
          <cell r="D94">
            <v>0</v>
          </cell>
          <cell r="E94">
            <v>0</v>
          </cell>
          <cell r="F94">
            <v>0</v>
          </cell>
          <cell r="G94">
            <v>0</v>
          </cell>
        </row>
        <row r="95">
          <cell r="B95" t="str">
            <v>MΤ Λοιποί με Ωριαίο Μετρητή</v>
          </cell>
          <cell r="C95">
            <v>0.29771596560727043</v>
          </cell>
          <cell r="D95">
            <v>0.24398072679345206</v>
          </cell>
          <cell r="E95">
            <v>0.19024548797963367</v>
          </cell>
          <cell r="F95">
            <v>8.2775010351996914E-2</v>
          </cell>
          <cell r="G95">
            <v>8.2775010351996914E-2</v>
          </cell>
        </row>
        <row r="109">
          <cell r="B109" t="str">
            <v>ΧΤ Αγροτικοί Χωρίς Ωριαίο Μετρητή</v>
          </cell>
          <cell r="C109">
            <v>0</v>
          </cell>
          <cell r="D109">
            <v>0</v>
          </cell>
          <cell r="E109">
            <v>0</v>
          </cell>
          <cell r="F109">
            <v>0</v>
          </cell>
          <cell r="G109">
            <v>0</v>
          </cell>
        </row>
        <row r="110">
          <cell r="B110" t="str">
            <v>ΧΤ Εμπορικοί χωρίς Ωριαίο Μετρητή</v>
          </cell>
          <cell r="C110">
            <v>1.5568256395839073</v>
          </cell>
          <cell r="D110">
            <v>2.6471827786363877</v>
          </cell>
          <cell r="E110">
            <v>3.7375399176888684</v>
          </cell>
          <cell r="F110">
            <v>5.9182541957938293</v>
          </cell>
          <cell r="G110">
            <v>5.9182541957938293</v>
          </cell>
        </row>
        <row r="111">
          <cell r="B111" t="str">
            <v>ΧΤ Βιομηχανικοί χωρίς Ωριαίο Μετρητή</v>
          </cell>
          <cell r="C111">
            <v>1.9388499906532186</v>
          </cell>
          <cell r="D111">
            <v>3.4473454250834479</v>
          </cell>
          <cell r="E111">
            <v>4.9558408595136765</v>
          </cell>
          <cell r="F111">
            <v>7.9728317283741346</v>
          </cell>
          <cell r="G111">
            <v>7.9728317283741346</v>
          </cell>
        </row>
        <row r="112">
          <cell r="B112" t="str">
            <v>ΧΤ ΦΟΠ, χωρίς Ωριαίο Μετρητή</v>
          </cell>
          <cell r="C112">
            <v>3.1822442069842656</v>
          </cell>
          <cell r="D112">
            <v>5.3138297686521767</v>
          </cell>
          <cell r="E112">
            <v>7.4454153303200865</v>
          </cell>
          <cell r="F112">
            <v>11.708586453655908</v>
          </cell>
          <cell r="G112">
            <v>11.708586453655908</v>
          </cell>
        </row>
        <row r="113">
          <cell r="B113" t="str">
            <v>ΧΤ Λοιποί χωρίς Ωριαίο Μετρητή</v>
          </cell>
          <cell r="C113">
            <v>0.51705562033326835</v>
          </cell>
          <cell r="D113">
            <v>1.5101418199619523</v>
          </cell>
          <cell r="E113">
            <v>2.5032280195906362</v>
          </cell>
          <cell r="F113">
            <v>4.4894004188480041</v>
          </cell>
          <cell r="G113">
            <v>4.4894004188480041</v>
          </cell>
        </row>
        <row r="114">
          <cell r="B114" t="str">
            <v>ΧΤ Αγροτικοί με Ωριαίο Μετρητή</v>
          </cell>
          <cell r="C114">
            <v>0</v>
          </cell>
          <cell r="D114">
            <v>0</v>
          </cell>
          <cell r="E114">
            <v>0</v>
          </cell>
          <cell r="F114">
            <v>0</v>
          </cell>
          <cell r="G114">
            <v>0</v>
          </cell>
        </row>
        <row r="115">
          <cell r="B115" t="str">
            <v>ΧΤ Λοιποί με Ωριαίο Μετρητή</v>
          </cell>
          <cell r="C115">
            <v>3.5065222717504647</v>
          </cell>
          <cell r="D115">
            <v>0</v>
          </cell>
          <cell r="E115">
            <v>0</v>
          </cell>
          <cell r="F115">
            <v>0</v>
          </cell>
          <cell r="G115">
            <v>0</v>
          </cell>
        </row>
        <row r="116">
          <cell r="B116" t="str">
            <v>MΤ Αγροτικοί με Ωριαίο Μετρητή</v>
          </cell>
          <cell r="C116">
            <v>0</v>
          </cell>
          <cell r="D116">
            <v>0</v>
          </cell>
          <cell r="E116">
            <v>0</v>
          </cell>
          <cell r="F116">
            <v>0</v>
          </cell>
          <cell r="G116">
            <v>0</v>
          </cell>
        </row>
        <row r="117">
          <cell r="B117" t="str">
            <v>MΤ Λοιποί με Ωριαίο Μετρητή</v>
          </cell>
          <cell r="C117">
            <v>0</v>
          </cell>
          <cell r="D117">
            <v>0</v>
          </cell>
          <cell r="E117">
            <v>0</v>
          </cell>
          <cell r="F117">
            <v>0</v>
          </cell>
          <cell r="G117">
            <v>0</v>
          </cell>
        </row>
        <row r="131">
          <cell r="B131" t="str">
            <v>ΧΤ Αγροτικοί Χωρίς Ωριαίο Μετρητή</v>
          </cell>
        </row>
        <row r="132">
          <cell r="B132" t="str">
            <v>ΧΤ Εμπορικοί χωρίς Ωριαίο Μετρητή</v>
          </cell>
        </row>
        <row r="133">
          <cell r="B133" t="str">
            <v>ΧΤ Βιομηχανικοί χωρίς Ωριαίο Μετρητή</v>
          </cell>
        </row>
        <row r="134">
          <cell r="B134" t="str">
            <v>ΧΤ ΦΟΠ, χωρίς Ωριαίο Μετρητή</v>
          </cell>
        </row>
        <row r="135">
          <cell r="B135" t="str">
            <v>ΧΤ Λοιποί χωρίς Ωριαίο Μετρητή</v>
          </cell>
        </row>
        <row r="136">
          <cell r="B136" t="str">
            <v>ΧΤ Αγροτικοί με Ωριαίο Μετρητή</v>
          </cell>
          <cell r="C136">
            <v>0</v>
          </cell>
          <cell r="D136">
            <v>0</v>
          </cell>
          <cell r="E136">
            <v>0</v>
          </cell>
          <cell r="F136">
            <v>0</v>
          </cell>
          <cell r="G136">
            <v>0</v>
          </cell>
        </row>
        <row r="137">
          <cell r="B137" t="str">
            <v>ΧΤ Λοιποί με Ωριαίο Μετρητή</v>
          </cell>
          <cell r="C137">
            <v>0</v>
          </cell>
          <cell r="D137">
            <v>62.724614951815447</v>
          </cell>
          <cell r="E137">
            <v>88.135172560514505</v>
          </cell>
          <cell r="F137">
            <v>138.95628777791262</v>
          </cell>
          <cell r="G137">
            <v>138.95628777791262</v>
          </cell>
        </row>
        <row r="138">
          <cell r="B138" t="str">
            <v>MΤ Αγροτικοί με Ωριαίο Μετρητή</v>
          </cell>
          <cell r="C138">
            <v>0</v>
          </cell>
          <cell r="D138">
            <v>6.8263558158897895E-17</v>
          </cell>
          <cell r="E138">
            <v>1.3652711631779579E-16</v>
          </cell>
          <cell r="F138">
            <v>2.7305423263559158E-16</v>
          </cell>
          <cell r="G138">
            <v>2.7305423263559158E-16</v>
          </cell>
        </row>
        <row r="139">
          <cell r="B139" t="str">
            <v>MΤ Λοιποί με Ωριαίο Μετρητή</v>
          </cell>
          <cell r="C139">
            <v>24.858129266398588</v>
          </cell>
          <cell r="D139">
            <v>29.508321204550885</v>
          </cell>
          <cell r="E139">
            <v>34.158513142703185</v>
          </cell>
          <cell r="F139">
            <v>43.458897019007786</v>
          </cell>
          <cell r="G139">
            <v>43.458897019007786</v>
          </cell>
        </row>
      </sheetData>
      <sheetData sheetId="3">
        <row r="3">
          <cell r="C3" t="str">
            <v>Παρούσα κατάσταση</v>
          </cell>
          <cell r="D3" t="str">
            <v>Επιμερισμός/Ανάκτηση σύμφωνα με διατάξεις ΚΔΔ
Σενάριο 1Α</v>
          </cell>
          <cell r="E3" t="str">
            <v>Βελτίωση #1
Ανάκτηση 65% RR Κατηγ. 6-9 μέσω Συμφ.Ισχύος</v>
          </cell>
          <cell r="F3" t="str">
            <v>Βελτίωση #2
Βελτίωση #1 + Στάθμιση (80%) ΜΦΑ μηνών χαμηλού φορτίου</v>
          </cell>
        </row>
        <row r="30">
          <cell r="B30" t="str">
            <v>ΧΤ Αγροτικοί Χωρίς Ωριαίο Μετρητή</v>
          </cell>
          <cell r="C30">
            <v>0</v>
          </cell>
          <cell r="D30">
            <v>1.2153208834686131</v>
          </cell>
          <cell r="E30">
            <v>1.2153208834686131</v>
          </cell>
          <cell r="F30">
            <v>1.2153208834686131</v>
          </cell>
        </row>
        <row r="31">
          <cell r="B31" t="str">
            <v>ΧΤ Εμπορικοί χωρίς Ωριαίο Μετρητή</v>
          </cell>
          <cell r="C31">
            <v>23.359553508548991</v>
          </cell>
          <cell r="D31">
            <v>20.146075398521386</v>
          </cell>
          <cell r="E31">
            <v>20.146075398521386</v>
          </cell>
          <cell r="F31">
            <v>20.252700400667539</v>
          </cell>
        </row>
        <row r="32">
          <cell r="B32" t="str">
            <v>ΧΤ Βιομηχανικοί χωρίς Ωριαίο Μετρητή</v>
          </cell>
          <cell r="C32">
            <v>21.35504929512927</v>
          </cell>
          <cell r="D32">
            <v>21.067386426230968</v>
          </cell>
          <cell r="E32">
            <v>21.067386426230968</v>
          </cell>
          <cell r="F32">
            <v>21.077032786784802</v>
          </cell>
        </row>
        <row r="33">
          <cell r="B33" t="str">
            <v>ΧΤ ΦΟΠ, χωρίς Ωριαίο Μετρητή</v>
          </cell>
          <cell r="C33">
            <v>23.697813389268671</v>
          </cell>
          <cell r="D33">
            <v>19.290598906970821</v>
          </cell>
          <cell r="E33">
            <v>19.290598906970821</v>
          </cell>
          <cell r="F33">
            <v>18.865283782467873</v>
          </cell>
        </row>
        <row r="34">
          <cell r="B34" t="str">
            <v>ΧΤ Λοιποί χωρίς Ωριαίο Μετρητή</v>
          </cell>
          <cell r="C34">
            <v>21.342171287931528</v>
          </cell>
          <cell r="D34">
            <v>23.6909117102579</v>
          </cell>
          <cell r="E34">
            <v>23.6909117102579</v>
          </cell>
          <cell r="F34">
            <v>23.64351221898486</v>
          </cell>
        </row>
        <row r="35">
          <cell r="B35" t="str">
            <v>ΧΤ Αγροτικοί με Ωριαίο Μετρητή</v>
          </cell>
          <cell r="C35">
            <v>0</v>
          </cell>
          <cell r="D35">
            <v>0.15652188310786574</v>
          </cell>
          <cell r="E35">
            <v>0.15652188310786574</v>
          </cell>
          <cell r="F35">
            <v>0.15652188310786574</v>
          </cell>
        </row>
        <row r="36">
          <cell r="B36" t="str">
            <v>ΧΤ Λοιποί με Ωριαίο Μετρητή</v>
          </cell>
          <cell r="C36">
            <v>23.39614971729474</v>
          </cell>
          <cell r="D36">
            <v>18.722916028710554</v>
          </cell>
          <cell r="E36">
            <v>18.722916028710554</v>
          </cell>
          <cell r="F36">
            <v>18.803311663567747</v>
          </cell>
        </row>
        <row r="37">
          <cell r="B37" t="str">
            <v>MΤ Αγροτικοί με Ωριαίο Μετρητή</v>
          </cell>
          <cell r="C37">
            <v>0</v>
          </cell>
          <cell r="D37">
            <v>0.33127442638947618</v>
          </cell>
          <cell r="E37">
            <v>0.33127442638947618</v>
          </cell>
          <cell r="F37">
            <v>0.33127442638947618</v>
          </cell>
        </row>
        <row r="38">
          <cell r="B38" t="str">
            <v>MΤ Λοιποί με Ωριαίο Μετρητή</v>
          </cell>
          <cell r="C38">
            <v>6.1592410777092264</v>
          </cell>
          <cell r="D38">
            <v>6.4989673706036299</v>
          </cell>
          <cell r="E38">
            <v>6.4989673706036299</v>
          </cell>
          <cell r="F38">
            <v>6.5020379118117209</v>
          </cell>
        </row>
        <row r="41">
          <cell r="B41" t="str">
            <v>ΧΤ Αγροτικοί Χωρίς Ωριαίο Μετρητή</v>
          </cell>
          <cell r="C41">
            <v>0</v>
          </cell>
          <cell r="D41">
            <v>6.997717834155182</v>
          </cell>
          <cell r="E41">
            <v>6.997717834155182</v>
          </cell>
          <cell r="F41">
            <v>6.997717834155182</v>
          </cell>
        </row>
        <row r="42">
          <cell r="B42" t="str">
            <v>ΧΤ Εμπορικοί χωρίς Ωριαίο Μετρητή</v>
          </cell>
          <cell r="C42">
            <v>142.0775195537469</v>
          </cell>
          <cell r="D42">
            <v>122.53249704953275</v>
          </cell>
          <cell r="E42">
            <v>122.53249704953275</v>
          </cell>
          <cell r="F42">
            <v>123.18101183479155</v>
          </cell>
        </row>
        <row r="43">
          <cell r="B43" t="str">
            <v>ΧΤ Βιομηχανικοί χωρίς Ωριαίο Μετρητή</v>
          </cell>
          <cell r="C43">
            <v>215.34921203477913</v>
          </cell>
          <cell r="D43">
            <v>212.44835372755702</v>
          </cell>
          <cell r="E43">
            <v>212.44835372755702</v>
          </cell>
          <cell r="F43">
            <v>212.5456298384928</v>
          </cell>
        </row>
        <row r="44">
          <cell r="B44" t="str">
            <v>ΧΤ ΦΟΠ, χωρίς Ωριαίο Μετρητή</v>
          </cell>
          <cell r="C44">
            <v>198.17409711928002</v>
          </cell>
          <cell r="D44">
            <v>161.31855536554588</v>
          </cell>
          <cell r="E44">
            <v>161.31855536554588</v>
          </cell>
          <cell r="F44">
            <v>157.76183730869283</v>
          </cell>
        </row>
        <row r="45">
          <cell r="B45" t="str">
            <v>ΧΤ Λοιποί χωρίς Ωριαίο Μετρητή</v>
          </cell>
          <cell r="C45">
            <v>64.90549642814355</v>
          </cell>
          <cell r="D45">
            <v>72.048451146070747</v>
          </cell>
          <cell r="E45">
            <v>72.048451146070747</v>
          </cell>
          <cell r="F45">
            <v>71.904300512566181</v>
          </cell>
        </row>
        <row r="46">
          <cell r="B46" t="str">
            <v>ΧΤ Αγροτικοί με Ωριαίο Μετρητή</v>
          </cell>
          <cell r="C46">
            <v>0</v>
          </cell>
          <cell r="D46">
            <v>6.997717834155182</v>
          </cell>
          <cell r="E46">
            <v>6.997717834155182</v>
          </cell>
          <cell r="F46">
            <v>6.997717834155182</v>
          </cell>
        </row>
        <row r="47">
          <cell r="B47" t="str">
            <v>ΧΤ Λοιποί με Ωριαίο Μετρητή</v>
          </cell>
          <cell r="C47">
            <v>2299.0883513595377</v>
          </cell>
          <cell r="D47">
            <v>1839.8599199111513</v>
          </cell>
          <cell r="E47">
            <v>1839.8599199111513</v>
          </cell>
          <cell r="F47">
            <v>1847.760222731649</v>
          </cell>
        </row>
        <row r="48">
          <cell r="B48" t="str">
            <v>MΤ Αγροτικοί με Ωριαίο Μετρητή</v>
          </cell>
          <cell r="C48">
            <v>0</v>
          </cell>
          <cell r="D48">
            <v>244.61336834311186</v>
          </cell>
          <cell r="E48">
            <v>244.61336834311186</v>
          </cell>
          <cell r="F48">
            <v>244.61336834311186</v>
          </cell>
        </row>
        <row r="49">
          <cell r="B49" t="str">
            <v>MΤ Λοιποί με Ωριαίο Μετρητή</v>
          </cell>
          <cell r="C49">
            <v>5823.865331650808</v>
          </cell>
          <cell r="D49">
            <v>6145.0932482846265</v>
          </cell>
          <cell r="E49">
            <v>6145.0932482846265</v>
          </cell>
          <cell r="F49">
            <v>6147.9965959967212</v>
          </cell>
        </row>
      </sheetData>
      <sheetData sheetId="4"/>
      <sheetData sheetId="5"/>
      <sheetData sheetId="6"/>
      <sheetData sheetId="7"/>
      <sheetData sheetId="8"/>
      <sheetData sheetId="9">
        <row r="11">
          <cell r="K11">
            <v>0</v>
          </cell>
        </row>
        <row r="12">
          <cell r="K12">
            <v>0</v>
          </cell>
        </row>
        <row r="19">
          <cell r="B19" t="str">
            <v>ΧΤ Αγροτικοί Χωρίς Ωριαίο Μετρητή</v>
          </cell>
          <cell r="L19">
            <v>1</v>
          </cell>
          <cell r="M19">
            <v>1</v>
          </cell>
          <cell r="Q19">
            <v>1084716.8740000001</v>
          </cell>
          <cell r="S19">
            <v>4745.3</v>
          </cell>
        </row>
        <row r="20">
          <cell r="B20" t="str">
            <v>ΧΤ Εμπορικοί χωρίς Ωριαίο Μετρητή</v>
          </cell>
          <cell r="L20">
            <v>1</v>
          </cell>
          <cell r="M20">
            <v>1</v>
          </cell>
          <cell r="Q20">
            <v>7813531.017</v>
          </cell>
          <cell r="S20">
            <v>22261.119999999999</v>
          </cell>
        </row>
        <row r="21">
          <cell r="B21" t="str">
            <v>ΧΤ Βιομηχανικοί χωρίς Ωριαίο Μετρητή</v>
          </cell>
          <cell r="L21">
            <v>1</v>
          </cell>
          <cell r="M21">
            <v>1</v>
          </cell>
          <cell r="Q21">
            <v>462291.32</v>
          </cell>
          <cell r="S21">
            <v>1057.575</v>
          </cell>
        </row>
        <row r="22">
          <cell r="B22" t="str">
            <v>ΧΤ ΦΟΠ, χωρίς Ωριαίο Μετρητή</v>
          </cell>
          <cell r="L22">
            <v>1</v>
          </cell>
          <cell r="M22">
            <v>1</v>
          </cell>
          <cell r="Q22">
            <v>801775.995</v>
          </cell>
          <cell r="S22">
            <v>1117.53</v>
          </cell>
        </row>
        <row r="23">
          <cell r="B23" t="str">
            <v>ΧΤ Λοιποί χωρίς Ωριαίο Μετρητή</v>
          </cell>
          <cell r="L23">
            <v>1</v>
          </cell>
          <cell r="M23">
            <v>1</v>
          </cell>
          <cell r="Q23">
            <v>17618550.182999998</v>
          </cell>
          <cell r="S23">
            <v>75568.804999999993</v>
          </cell>
        </row>
        <row r="24">
          <cell r="B24" t="str">
            <v>ΧΤ Αγροτικοί με Ωριαίο Μετρητή</v>
          </cell>
          <cell r="L24">
            <v>0.93779640577969836</v>
          </cell>
          <cell r="M24">
            <v>1.0663295293487338</v>
          </cell>
          <cell r="Q24">
            <v>813320.67</v>
          </cell>
          <cell r="R24">
            <v>105.30542801017457</v>
          </cell>
          <cell r="S24">
            <v>2106.4699999999998</v>
          </cell>
        </row>
        <row r="25">
          <cell r="B25" t="str">
            <v>ΧΤ Λοιποί με Ωριαίο Μετρητή</v>
          </cell>
          <cell r="L25">
            <v>0.95644097663732275</v>
          </cell>
          <cell r="M25">
            <v>1.0455428243108353</v>
          </cell>
          <cell r="Q25">
            <v>3805813.9410000001</v>
          </cell>
          <cell r="R25">
            <v>452.39179934514442</v>
          </cell>
          <cell r="S25">
            <v>4814.05</v>
          </cell>
        </row>
        <row r="26">
          <cell r="B26" t="str">
            <v>MΤ Αγροτικοί με Ωριαίο Μετρητή</v>
          </cell>
          <cell r="L26">
            <v>0.87887768998231797</v>
          </cell>
          <cell r="M26">
            <v>1.1378147510151486</v>
          </cell>
          <cell r="Q26">
            <v>392829.33299999998</v>
          </cell>
          <cell r="R26">
            <v>53.293131873137149</v>
          </cell>
          <cell r="S26">
            <v>557.97500000000002</v>
          </cell>
        </row>
        <row r="27">
          <cell r="B27" t="str">
            <v>MΤ Λοιποί με Ωριαίο Μετρητή</v>
          </cell>
          <cell r="L27">
            <v>0.96672938062037461</v>
          </cell>
          <cell r="M27">
            <v>1.0344156493498469</v>
          </cell>
          <cell r="Q27">
            <v>10607170.666999999</v>
          </cell>
          <cell r="R27">
            <v>1314.0997174467584</v>
          </cell>
          <cell r="S27">
            <v>8074.585</v>
          </cell>
        </row>
        <row r="43">
          <cell r="C43">
            <v>741784817.62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71">
          <cell r="K71">
            <v>0</v>
          </cell>
          <cell r="M71">
            <v>0</v>
          </cell>
        </row>
        <row r="72">
          <cell r="K72">
            <v>1.5568256395839073</v>
          </cell>
          <cell r="M72">
            <v>1.7741879980485709</v>
          </cell>
        </row>
        <row r="73">
          <cell r="K73">
            <v>1.9388499906532186</v>
          </cell>
          <cell r="M73">
            <v>1.7741879980485706</v>
          </cell>
        </row>
        <row r="74">
          <cell r="K74">
            <v>3.1822442069842656</v>
          </cell>
          <cell r="M74">
            <v>1.7741879980485702</v>
          </cell>
        </row>
        <row r="75">
          <cell r="K75">
            <v>0.51705562033326835</v>
          </cell>
          <cell r="M75">
            <v>1.9959614978046414</v>
          </cell>
        </row>
        <row r="76">
          <cell r="K76">
            <v>0</v>
          </cell>
          <cell r="M76">
            <v>0</v>
          </cell>
        </row>
        <row r="77">
          <cell r="K77">
            <v>3.5065222717504647</v>
          </cell>
          <cell r="M77">
            <v>1.6969061015917912</v>
          </cell>
        </row>
        <row r="78">
          <cell r="K78">
            <v>0</v>
          </cell>
          <cell r="M78">
            <v>0</v>
          </cell>
        </row>
        <row r="79">
          <cell r="K79">
            <v>0</v>
          </cell>
          <cell r="L79">
            <v>1.1691369131095299</v>
          </cell>
          <cell r="M79">
            <v>0.29771596560727043</v>
          </cell>
        </row>
        <row r="90">
          <cell r="K90">
            <v>0</v>
          </cell>
          <cell r="N90">
            <v>0</v>
          </cell>
          <cell r="O90">
            <v>0</v>
          </cell>
        </row>
        <row r="91">
          <cell r="K91">
            <v>182520595.88231871</v>
          </cell>
          <cell r="N91">
            <v>23.359553508548991</v>
          </cell>
          <cell r="O91">
            <v>142.0775195537469</v>
          </cell>
        </row>
        <row r="92">
          <cell r="K92">
            <v>9872253.9273103792</v>
          </cell>
          <cell r="N92">
            <v>21.35504929512927</v>
          </cell>
          <cell r="O92">
            <v>215.34921203477913</v>
          </cell>
        </row>
        <row r="93">
          <cell r="K93">
            <v>19000337.909505211</v>
          </cell>
          <cell r="N93">
            <v>23.697813389268671</v>
          </cell>
          <cell r="O93">
            <v>198.17409711928002</v>
          </cell>
        </row>
        <row r="94">
          <cell r="K94">
            <v>376018115.85060334</v>
          </cell>
          <cell r="N94">
            <v>21.342171287931528</v>
          </cell>
          <cell r="O94">
            <v>64.90549642814355</v>
          </cell>
        </row>
        <row r="95">
          <cell r="K95">
            <v>0</v>
          </cell>
          <cell r="N95">
            <v>0</v>
          </cell>
          <cell r="O95">
            <v>0</v>
          </cell>
        </row>
        <row r="96">
          <cell r="K96">
            <v>89041392.759803534</v>
          </cell>
          <cell r="N96">
            <v>23.39614971729474</v>
          </cell>
          <cell r="O96">
            <v>2299.0883513595377</v>
          </cell>
        </row>
        <row r="97">
          <cell r="K97">
            <v>0</v>
          </cell>
          <cell r="N97">
            <v>0</v>
          </cell>
          <cell r="O97">
            <v>0</v>
          </cell>
        </row>
        <row r="98">
          <cell r="K98">
            <v>65332121.290458769</v>
          </cell>
          <cell r="N98">
            <v>6.1592410777092264</v>
          </cell>
          <cell r="O98">
            <v>5823.865331650808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6">
          <cell r="T6">
            <v>1084716.8740000001</v>
          </cell>
          <cell r="V6">
            <v>188387</v>
          </cell>
          <cell r="X6">
            <v>4745.3</v>
          </cell>
        </row>
        <row r="7">
          <cell r="T7">
            <v>7813531.017</v>
          </cell>
          <cell r="V7">
            <v>1284655</v>
          </cell>
          <cell r="X7">
            <v>22261.119999999999</v>
          </cell>
        </row>
        <row r="8">
          <cell r="T8">
            <v>462291.32</v>
          </cell>
          <cell r="V8">
            <v>45843</v>
          </cell>
          <cell r="X8">
            <v>1057.575</v>
          </cell>
        </row>
        <row r="9">
          <cell r="T9">
            <v>801775.995</v>
          </cell>
          <cell r="V9">
            <v>95877</v>
          </cell>
          <cell r="X9">
            <v>1117.53</v>
          </cell>
        </row>
        <row r="10">
          <cell r="T10">
            <v>17618550.182999998</v>
          </cell>
          <cell r="V10">
            <v>5793317</v>
          </cell>
          <cell r="X10">
            <v>75568.804999999993</v>
          </cell>
        </row>
        <row r="11">
          <cell r="T11">
            <v>813320.67</v>
          </cell>
          <cell r="V11">
            <v>18192</v>
          </cell>
          <cell r="X11">
            <v>2106.4699999999998</v>
          </cell>
        </row>
        <row r="12">
          <cell r="T12">
            <v>3805813.9410000001</v>
          </cell>
          <cell r="V12">
            <v>38729</v>
          </cell>
          <cell r="X12">
            <v>4814.05</v>
          </cell>
        </row>
        <row r="13">
          <cell r="T13">
            <v>392829.33299999998</v>
          </cell>
          <cell r="V13">
            <v>532</v>
          </cell>
          <cell r="X13">
            <v>557.97500000000002</v>
          </cell>
        </row>
        <row r="14">
          <cell r="T14">
            <v>10607170.666999999</v>
          </cell>
          <cell r="V14">
            <v>11218</v>
          </cell>
          <cell r="X14">
            <v>8074.585</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ΩΛΗΣΕΙΣ ΑΝΑ ΧΡΗΣΗ 2017 ΕΚΤΙΜΗΣ"/>
      <sheetName val="LV_Consumers_2017_Estimation"/>
      <sheetName val="LV_Sells_2017_Estimation"/>
      <sheetName val="MV_Consumers_2017_Estimation"/>
    </sheetNames>
    <sheetDataSet>
      <sheetData sheetId="0"/>
      <sheetData sheetId="1">
        <row r="10">
          <cell r="C10">
            <v>4139659</v>
          </cell>
          <cell r="E10">
            <v>8744</v>
          </cell>
          <cell r="F10">
            <v>960101</v>
          </cell>
          <cell r="G10">
            <v>47629</v>
          </cell>
          <cell r="H10">
            <v>4245</v>
          </cell>
          <cell r="I10">
            <v>569</v>
          </cell>
          <cell r="J10">
            <v>237</v>
          </cell>
          <cell r="K10">
            <v>31</v>
          </cell>
          <cell r="N10">
            <v>67430.764999999999</v>
          </cell>
          <cell r="O10">
            <v>88.11</v>
          </cell>
        </row>
        <row r="16">
          <cell r="C16">
            <v>508303</v>
          </cell>
          <cell r="E16">
            <v>229214</v>
          </cell>
          <cell r="F16">
            <v>296066</v>
          </cell>
          <cell r="G16">
            <v>61257</v>
          </cell>
          <cell r="H16">
            <v>23274</v>
          </cell>
          <cell r="I16">
            <v>12389</v>
          </cell>
          <cell r="J16">
            <v>9714</v>
          </cell>
          <cell r="K16">
            <v>2486</v>
          </cell>
          <cell r="N16">
            <v>19346.955000000002</v>
          </cell>
          <cell r="O16">
            <v>2985.9549999999999</v>
          </cell>
        </row>
        <row r="22">
          <cell r="C22">
            <v>7151</v>
          </cell>
          <cell r="E22">
            <v>14622</v>
          </cell>
          <cell r="F22">
            <v>10992</v>
          </cell>
          <cell r="G22">
            <v>6232</v>
          </cell>
          <cell r="H22">
            <v>3517</v>
          </cell>
          <cell r="I22">
            <v>3122</v>
          </cell>
          <cell r="J22">
            <v>2840</v>
          </cell>
          <cell r="K22">
            <v>1380</v>
          </cell>
          <cell r="N22">
            <v>977.19500000000005</v>
          </cell>
          <cell r="O22">
            <v>993.77</v>
          </cell>
        </row>
        <row r="30">
          <cell r="C30">
            <v>16294</v>
          </cell>
          <cell r="E30">
            <v>67141</v>
          </cell>
          <cell r="F30">
            <v>28911</v>
          </cell>
          <cell r="G30">
            <v>19480</v>
          </cell>
          <cell r="H30">
            <v>31201</v>
          </cell>
          <cell r="I30">
            <v>10396</v>
          </cell>
          <cell r="J30">
            <v>5434</v>
          </cell>
          <cell r="K30">
            <v>1446</v>
          </cell>
          <cell r="N30">
            <v>4290.6850000000004</v>
          </cell>
          <cell r="O30">
            <v>1978.75</v>
          </cell>
        </row>
        <row r="39">
          <cell r="C39">
            <v>72332</v>
          </cell>
          <cell r="E39">
            <v>4313</v>
          </cell>
          <cell r="F39">
            <v>5113</v>
          </cell>
          <cell r="G39">
            <v>1257</v>
          </cell>
          <cell r="H39">
            <v>336</v>
          </cell>
          <cell r="I39">
            <v>23</v>
          </cell>
          <cell r="J39">
            <v>9</v>
          </cell>
          <cell r="K39">
            <v>0</v>
          </cell>
          <cell r="N39">
            <v>978.31500000000005</v>
          </cell>
          <cell r="O39">
            <v>3.17</v>
          </cell>
        </row>
        <row r="44">
          <cell r="C44">
            <v>13</v>
          </cell>
          <cell r="E44">
            <v>13</v>
          </cell>
          <cell r="F44">
            <v>22</v>
          </cell>
          <cell r="G44">
            <v>20</v>
          </cell>
          <cell r="H44">
            <v>5</v>
          </cell>
          <cell r="I44">
            <v>1</v>
          </cell>
          <cell r="J44">
            <v>4</v>
          </cell>
          <cell r="K44">
            <v>3</v>
          </cell>
          <cell r="N44">
            <v>1.85</v>
          </cell>
          <cell r="O44">
            <v>1.375</v>
          </cell>
        </row>
        <row r="102">
          <cell r="C102">
            <v>4654561</v>
          </cell>
          <cell r="E102">
            <v>9058</v>
          </cell>
          <cell r="F102">
            <v>1074107</v>
          </cell>
          <cell r="G102">
            <v>51022</v>
          </cell>
          <cell r="H102">
            <v>4486</v>
          </cell>
          <cell r="I102">
            <v>620</v>
          </cell>
          <cell r="J102">
            <v>251</v>
          </cell>
          <cell r="K102">
            <v>32</v>
          </cell>
          <cell r="N102">
            <v>75566.654999999999</v>
          </cell>
          <cell r="O102">
            <v>94.584999999999994</v>
          </cell>
        </row>
        <row r="108">
          <cell r="C108">
            <v>586587</v>
          </cell>
          <cell r="E108">
            <v>260775</v>
          </cell>
          <cell r="F108">
            <v>336435</v>
          </cell>
          <cell r="G108">
            <v>73722</v>
          </cell>
          <cell r="H108">
            <v>27136</v>
          </cell>
          <cell r="I108">
            <v>14908</v>
          </cell>
          <cell r="J108">
            <v>11359</v>
          </cell>
          <cell r="K108">
            <v>3128</v>
          </cell>
          <cell r="N108">
            <v>22261.119999999999</v>
          </cell>
          <cell r="O108">
            <v>3582.645</v>
          </cell>
        </row>
        <row r="114">
          <cell r="C114">
            <v>7634</v>
          </cell>
          <cell r="E114">
            <v>15605</v>
          </cell>
          <cell r="F114">
            <v>11954</v>
          </cell>
          <cell r="G114">
            <v>6872</v>
          </cell>
          <cell r="H114">
            <v>3778</v>
          </cell>
          <cell r="I114">
            <v>3586</v>
          </cell>
          <cell r="J114">
            <v>3245</v>
          </cell>
          <cell r="K114">
            <v>1552</v>
          </cell>
          <cell r="N114">
            <v>1057.575</v>
          </cell>
          <cell r="O114">
            <v>1130.885</v>
          </cell>
        </row>
        <row r="122">
          <cell r="C122">
            <v>19913</v>
          </cell>
          <cell r="E122">
            <v>83488</v>
          </cell>
          <cell r="F122">
            <v>32184</v>
          </cell>
          <cell r="G122">
            <v>20743</v>
          </cell>
          <cell r="H122">
            <v>32059</v>
          </cell>
          <cell r="I122">
            <v>10807</v>
          </cell>
          <cell r="J122">
            <v>5725</v>
          </cell>
          <cell r="K122">
            <v>1660</v>
          </cell>
          <cell r="N122">
            <v>4745.3</v>
          </cell>
          <cell r="O122">
            <v>2106.4699999999998</v>
          </cell>
        </row>
        <row r="131">
          <cell r="C131">
            <v>83799</v>
          </cell>
          <cell r="E131">
            <v>4694</v>
          </cell>
          <cell r="F131">
            <v>5633</v>
          </cell>
          <cell r="G131">
            <v>1400</v>
          </cell>
          <cell r="H131">
            <v>351</v>
          </cell>
          <cell r="I131">
            <v>23</v>
          </cell>
          <cell r="J131">
            <v>9</v>
          </cell>
          <cell r="K131">
            <v>0</v>
          </cell>
          <cell r="N131">
            <v>1117.53</v>
          </cell>
          <cell r="O131">
            <v>3.17</v>
          </cell>
        </row>
        <row r="136">
          <cell r="C136">
            <v>15</v>
          </cell>
          <cell r="E136">
            <v>16</v>
          </cell>
          <cell r="F136">
            <v>22</v>
          </cell>
          <cell r="G136">
            <v>22</v>
          </cell>
          <cell r="H136">
            <v>8</v>
          </cell>
          <cell r="I136">
            <v>4</v>
          </cell>
          <cell r="J136">
            <v>5</v>
          </cell>
          <cell r="K136">
            <v>7</v>
          </cell>
          <cell r="N136">
            <v>2.15</v>
          </cell>
          <cell r="O136">
            <v>2.7650000000000001</v>
          </cell>
        </row>
      </sheetData>
      <sheetData sheetId="2">
        <row r="10">
          <cell r="C10">
            <v>10919287766</v>
          </cell>
          <cell r="E10">
            <v>37585710</v>
          </cell>
          <cell r="F10">
            <v>4423618093</v>
          </cell>
          <cell r="G10">
            <v>386241178</v>
          </cell>
          <cell r="H10">
            <v>66546133</v>
          </cell>
          <cell r="I10">
            <v>25720827</v>
          </cell>
          <cell r="J10">
            <v>19593867</v>
          </cell>
          <cell r="K10">
            <v>4419406</v>
          </cell>
        </row>
        <row r="16">
          <cell r="C16">
            <v>1188991917</v>
          </cell>
          <cell r="E16">
            <v>1160630700</v>
          </cell>
          <cell r="F16">
            <v>1803878056</v>
          </cell>
          <cell r="G16">
            <v>1474129715</v>
          </cell>
          <cell r="H16">
            <v>940364266</v>
          </cell>
          <cell r="I16">
            <v>922848784</v>
          </cell>
          <cell r="J16">
            <v>1189478861</v>
          </cell>
          <cell r="K16">
            <v>477810855</v>
          </cell>
        </row>
        <row r="22">
          <cell r="C22">
            <v>29850219</v>
          </cell>
          <cell r="E22">
            <v>68577642</v>
          </cell>
          <cell r="F22">
            <v>77541445</v>
          </cell>
          <cell r="G22">
            <v>135195389</v>
          </cell>
          <cell r="H22">
            <v>113340213</v>
          </cell>
          <cell r="I22">
            <v>152853701</v>
          </cell>
          <cell r="J22">
            <v>222110277</v>
          </cell>
          <cell r="K22">
            <v>170080464</v>
          </cell>
        </row>
        <row r="30">
          <cell r="C30">
            <v>51664088</v>
          </cell>
          <cell r="E30">
            <v>151485010</v>
          </cell>
          <cell r="F30">
            <v>122501719</v>
          </cell>
          <cell r="G30">
            <v>188682008</v>
          </cell>
          <cell r="H30">
            <v>479332597</v>
          </cell>
          <cell r="I30">
            <v>308541777</v>
          </cell>
          <cell r="J30">
            <v>277989205</v>
          </cell>
          <cell r="K30">
            <v>154976190</v>
          </cell>
        </row>
        <row r="39">
          <cell r="C39">
            <v>518942541</v>
          </cell>
          <cell r="E39">
            <v>55603133</v>
          </cell>
          <cell r="F39">
            <v>84326894</v>
          </cell>
          <cell r="G39">
            <v>35274087</v>
          </cell>
          <cell r="H39">
            <v>13925083</v>
          </cell>
          <cell r="I39">
            <v>1548543</v>
          </cell>
          <cell r="J39">
            <v>892549</v>
          </cell>
          <cell r="K39">
            <v>0</v>
          </cell>
        </row>
        <row r="44">
          <cell r="C44">
            <v>255114</v>
          </cell>
          <cell r="E44">
            <v>105925</v>
          </cell>
          <cell r="F44">
            <v>208684</v>
          </cell>
          <cell r="G44">
            <v>204240</v>
          </cell>
          <cell r="H44">
            <v>144292</v>
          </cell>
          <cell r="I44">
            <v>39405</v>
          </cell>
          <cell r="J44">
            <v>148785</v>
          </cell>
          <cell r="K44">
            <v>350110</v>
          </cell>
        </row>
        <row r="102">
          <cell r="C102">
            <v>12131465157</v>
          </cell>
          <cell r="E102">
            <v>38739905</v>
          </cell>
          <cell r="F102">
            <v>4955485831</v>
          </cell>
          <cell r="G102">
            <v>420340727</v>
          </cell>
          <cell r="H102">
            <v>71407503</v>
          </cell>
          <cell r="I102">
            <v>27707211</v>
          </cell>
          <cell r="J102">
            <v>20308508</v>
          </cell>
          <cell r="K102">
            <v>4475964</v>
          </cell>
        </row>
        <row r="108">
          <cell r="C108">
            <v>1396276693</v>
          </cell>
          <cell r="E108">
            <v>1352981810</v>
          </cell>
          <cell r="F108">
            <v>2162607500</v>
          </cell>
          <cell r="G108">
            <v>1795797755</v>
          </cell>
          <cell r="H108">
            <v>1105867259</v>
          </cell>
          <cell r="I108">
            <v>1118968674</v>
          </cell>
          <cell r="J108">
            <v>1403163332</v>
          </cell>
          <cell r="K108">
            <v>616470974</v>
          </cell>
        </row>
        <row r="114">
          <cell r="C114">
            <v>31756292</v>
          </cell>
          <cell r="E114">
            <v>73458228</v>
          </cell>
          <cell r="F114">
            <v>85292974</v>
          </cell>
          <cell r="G114">
            <v>149367991</v>
          </cell>
          <cell r="H114">
            <v>122415835</v>
          </cell>
          <cell r="I114">
            <v>172051574</v>
          </cell>
          <cell r="J114">
            <v>250530975</v>
          </cell>
          <cell r="K114">
            <v>188773123</v>
          </cell>
        </row>
        <row r="122">
          <cell r="C122">
            <v>57538423</v>
          </cell>
          <cell r="E122">
            <v>184759786</v>
          </cell>
          <cell r="F122">
            <v>139469600</v>
          </cell>
          <cell r="G122">
            <v>203946932</v>
          </cell>
          <cell r="H122">
            <v>499002133</v>
          </cell>
          <cell r="I122">
            <v>325417124</v>
          </cell>
          <cell r="J122">
            <v>303497325</v>
          </cell>
          <cell r="K122">
            <v>184406221</v>
          </cell>
        </row>
        <row r="131">
          <cell r="C131">
            <v>594278039</v>
          </cell>
          <cell r="E131">
            <v>60177278</v>
          </cell>
          <cell r="F131">
            <v>93821173</v>
          </cell>
          <cell r="G131">
            <v>38990377</v>
          </cell>
          <cell r="H131">
            <v>14509128</v>
          </cell>
          <cell r="I131">
            <v>1548543</v>
          </cell>
          <cell r="J131">
            <v>892549</v>
          </cell>
          <cell r="K131">
            <v>0</v>
          </cell>
        </row>
        <row r="136">
          <cell r="C136">
            <v>267957</v>
          </cell>
          <cell r="E136">
            <v>142981</v>
          </cell>
          <cell r="F136">
            <v>208684</v>
          </cell>
          <cell r="G136">
            <v>214952</v>
          </cell>
          <cell r="H136">
            <v>276486</v>
          </cell>
          <cell r="I136">
            <v>69291</v>
          </cell>
          <cell r="J136">
            <v>156859</v>
          </cell>
          <cell r="K136">
            <v>696364</v>
          </cell>
        </row>
      </sheetData>
      <sheetData sheetId="3">
        <row r="7">
          <cell r="B7">
            <v>10026</v>
          </cell>
          <cell r="C7">
            <v>7287404</v>
          </cell>
          <cell r="E7">
            <v>9478405328</v>
          </cell>
        </row>
        <row r="9">
          <cell r="B9">
            <v>506</v>
          </cell>
          <cell r="C9">
            <v>532929</v>
          </cell>
          <cell r="E9">
            <v>369541934</v>
          </cell>
        </row>
        <row r="39">
          <cell r="B39">
            <v>11218</v>
          </cell>
          <cell r="C39">
            <v>8074585</v>
          </cell>
          <cell r="E39">
            <v>10607170667</v>
          </cell>
        </row>
        <row r="41">
          <cell r="B41">
            <v>532</v>
          </cell>
          <cell r="C41">
            <v>557975</v>
          </cell>
          <cell r="E41">
            <v>392829333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2020"/>
      <sheetName val="ΕΠΙΜ.ΦΟΡΤ.ΑΙΧΜΗΣ ΕΔΔΗΕ_2020"/>
      <sheetName val="ΑΙΧΜΕΣ 2020"/>
      <sheetName val="ΕΠΙΜ.ΦΟΡΤ.ΑΙΧΜΗΣ ΕΔΔΗΕ_2019"/>
      <sheetName val="ΑΙΧΜΕΣ 2019"/>
      <sheetName val="20190108200000"/>
      <sheetName val="20190709140000"/>
      <sheetName val="ΕΠΙΜ.ΦΟΡΤ.ΑΙΧΜΗΣ ΕΔΔΗΕ_2018"/>
      <sheetName val="ΑΙΧΜΕΣ 2018"/>
      <sheetName val="ΖΗΤΗΣΗ ΜΤ ΧΑ 250118"/>
      <sheetName val="ΖΗΤΗΣΗ ΜΤ 230718"/>
      <sheetName val="ΕΠΙΜ.ΦΟΡΤ.ΑΙΧΜΗΣ ΕΔΔΗΕ_2017"/>
      <sheetName val="ΖΗΤΗΣΗ 2017"/>
      <sheetName val="9-1-2017 20.00"/>
      <sheetName val="13-7-2017 14.00"/>
      <sheetName val="ΕΠΙΜ.ΦΟΡΤ.ΑΙΧΜΗΣ ΕΔΔΗΕ_2016"/>
      <sheetName val="ΖΗΤΗΣΗ 2016"/>
      <sheetName val="26-1-2016"/>
      <sheetName val="15-7-2016"/>
      <sheetName val="Συντ. Προσαύξησης λόγω απωλειών"/>
      <sheetName val="Ζήτηση 2015"/>
    </sheetNames>
    <sheetDataSet>
      <sheetData sheetId="0">
        <row r="7">
          <cell r="K7">
            <v>0.22013607366336224</v>
          </cell>
        </row>
        <row r="8">
          <cell r="K8">
            <v>0.7798639263366377</v>
          </cell>
        </row>
        <row r="19">
          <cell r="B19">
            <v>0.21494973154158609</v>
          </cell>
          <cell r="C19">
            <v>0.21660523700837142</v>
          </cell>
          <cell r="D19">
            <v>0.23362183901612266</v>
          </cell>
          <cell r="E19">
            <v>0.2103295949121875</v>
          </cell>
        </row>
        <row r="20">
          <cell r="B20">
            <v>0.78505026845841397</v>
          </cell>
          <cell r="C20">
            <v>0.78339476299162858</v>
          </cell>
          <cell r="D20">
            <v>0.76637816098387734</v>
          </cell>
          <cell r="E20">
            <v>0.78967040508781261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persons/person.xml><?xml version="1.0" encoding="utf-8"?>
<personList xmlns="http://schemas.microsoft.com/office/spreadsheetml/2018/threadedcomments" xmlns:x="http://schemas.openxmlformats.org/spreadsheetml/2006/main">
  <person displayName="Nikolaos Kantas" id="{AB5936F5-2371-4CFB-8E88-5E60AB34E3B9}" userId="Nikolaos Kantas" providerId="None"/>
</personList>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1" dT="2021-04-11T10:53:05.14" personId="{AB5936F5-2371-4CFB-8E88-5E60AB34E3B9}" id="{AA6BD943-5087-4819-BF0B-BE2302CF16E5}">
    <text>Για ολοκλήρωση της μετάβασης στο τέταρτο έτος, εισάγετε τιμή μικρότερη του 100% σε αυτό το κελί</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DE391-5AF7-40DE-A9C3-BCDD730273DB}">
  <sheetPr>
    <tabColor theme="4" tint="0.59999389629810485"/>
  </sheetPr>
  <dimension ref="A1:K114"/>
  <sheetViews>
    <sheetView showZeros="0" tabSelected="1" zoomScale="85" zoomScaleNormal="85" workbookViewId="0"/>
  </sheetViews>
  <sheetFormatPr defaultRowHeight="12.75" x14ac:dyDescent="0.2"/>
  <cols>
    <col min="1" max="1" width="4.28515625" style="1" customWidth="1"/>
    <col min="2" max="2" width="39" customWidth="1"/>
    <col min="3" max="9" width="15.28515625" customWidth="1"/>
  </cols>
  <sheetData>
    <row r="1" spans="1:9" ht="54" customHeight="1" thickBot="1" x14ac:dyDescent="0.25">
      <c r="B1" s="1"/>
      <c r="C1" s="1"/>
      <c r="D1" s="2" t="s">
        <v>0</v>
      </c>
      <c r="E1" s="2"/>
      <c r="F1" s="2"/>
      <c r="G1" s="2"/>
      <c r="H1" s="2"/>
      <c r="I1" s="2"/>
    </row>
    <row r="2" spans="1:9" ht="26.25" thickBot="1" x14ac:dyDescent="0.25">
      <c r="B2" s="4" t="s">
        <v>1</v>
      </c>
      <c r="C2" s="5" t="s">
        <v>2</v>
      </c>
      <c r="D2" s="6" t="s">
        <v>3</v>
      </c>
      <c r="E2" s="7" t="s">
        <v>4</v>
      </c>
      <c r="F2" s="6" t="s">
        <v>5</v>
      </c>
      <c r="G2" s="6" t="s">
        <v>6</v>
      </c>
      <c r="H2" s="6" t="s">
        <v>7</v>
      </c>
      <c r="I2" s="8" t="s">
        <v>8</v>
      </c>
    </row>
    <row r="3" spans="1:9" ht="38.25" x14ac:dyDescent="0.2">
      <c r="B3" s="9" t="s">
        <v>9</v>
      </c>
      <c r="C3" s="10" t="s">
        <v>10</v>
      </c>
      <c r="D3" s="11" t="s">
        <v>11</v>
      </c>
      <c r="E3" s="12" t="s">
        <v>12</v>
      </c>
      <c r="F3" s="11" t="s">
        <v>11</v>
      </c>
      <c r="G3" s="11" t="s">
        <v>12</v>
      </c>
      <c r="H3" s="11" t="s">
        <v>11</v>
      </c>
      <c r="I3" s="13" t="s">
        <v>12</v>
      </c>
    </row>
    <row r="4" spans="1:9" x14ac:dyDescent="0.2">
      <c r="B4" s="15" t="s">
        <v>13</v>
      </c>
      <c r="C4" s="16">
        <f>C24</f>
        <v>0.82399999999999995</v>
      </c>
      <c r="D4" s="17">
        <v>0.1</v>
      </c>
      <c r="E4" s="18">
        <v>0.1</v>
      </c>
      <c r="F4" s="19">
        <v>2.1297721799144638E-2</v>
      </c>
      <c r="G4" s="19">
        <v>2.1297721799144638E-2</v>
      </c>
      <c r="H4" s="20">
        <v>0.20000000000000007</v>
      </c>
      <c r="I4" s="21">
        <v>0.20000000000000007</v>
      </c>
    </row>
    <row r="5" spans="1:9" x14ac:dyDescent="0.2">
      <c r="B5" s="24" t="s">
        <v>14</v>
      </c>
      <c r="C5" s="25">
        <v>1</v>
      </c>
      <c r="D5" s="22">
        <v>0</v>
      </c>
      <c r="E5" s="27">
        <v>1</v>
      </c>
      <c r="F5" s="22">
        <v>0</v>
      </c>
      <c r="G5" s="28">
        <v>1</v>
      </c>
      <c r="H5" s="22">
        <v>0</v>
      </c>
      <c r="I5" s="29">
        <v>1</v>
      </c>
    </row>
    <row r="6" spans="1:9" x14ac:dyDescent="0.2">
      <c r="B6" s="24" t="s">
        <v>15</v>
      </c>
      <c r="C6" s="25">
        <v>1</v>
      </c>
      <c r="D6" s="22">
        <v>1</v>
      </c>
      <c r="E6" s="26">
        <v>1</v>
      </c>
      <c r="F6" s="22">
        <v>1</v>
      </c>
      <c r="G6" s="22">
        <v>1</v>
      </c>
      <c r="H6" s="22">
        <v>1</v>
      </c>
      <c r="I6" s="23">
        <v>1</v>
      </c>
    </row>
    <row r="7" spans="1:9" ht="26.25" thickBot="1" x14ac:dyDescent="0.25">
      <c r="B7" s="30" t="s">
        <v>16</v>
      </c>
      <c r="C7" s="31" t="s">
        <v>17</v>
      </c>
      <c r="D7" s="32" t="s">
        <v>18</v>
      </c>
      <c r="E7" s="33" t="s">
        <v>18</v>
      </c>
      <c r="F7" s="32" t="s">
        <v>18</v>
      </c>
      <c r="G7" s="32" t="s">
        <v>18</v>
      </c>
      <c r="H7" s="32" t="s">
        <v>18</v>
      </c>
      <c r="I7" s="34" t="s">
        <v>18</v>
      </c>
    </row>
    <row r="8" spans="1:9" ht="13.5" thickBot="1" x14ac:dyDescent="0.25">
      <c r="B8" s="1"/>
      <c r="C8" s="35"/>
      <c r="D8" s="3"/>
      <c r="E8" s="3"/>
      <c r="F8" s="3"/>
      <c r="G8" s="3"/>
      <c r="H8" s="3"/>
      <c r="I8" s="3"/>
    </row>
    <row r="9" spans="1:9" ht="13.5" customHeight="1" thickBot="1" x14ac:dyDescent="0.25">
      <c r="B9" s="1"/>
      <c r="C9" s="36" t="s">
        <v>19</v>
      </c>
      <c r="D9" s="37"/>
      <c r="E9" s="37"/>
      <c r="F9" s="37"/>
      <c r="G9" s="37"/>
      <c r="H9" s="37"/>
      <c r="I9" s="38"/>
    </row>
    <row r="10" spans="1:9" x14ac:dyDescent="0.2">
      <c r="A10" s="1">
        <v>1</v>
      </c>
      <c r="B10" s="39" t="str">
        <f>[1]Results_Main!B19</f>
        <v>ΧΤ Αγροτικοί Χωρίς Ωριαίο Μετρητή</v>
      </c>
      <c r="C10" s="40">
        <f>'ΧΧΔ βάσει τρέχουσας'!K41</f>
        <v>0</v>
      </c>
      <c r="D10" s="41">
        <v>3503113.8635464888</v>
      </c>
      <c r="E10" s="42">
        <v>1318279.0696229923</v>
      </c>
      <c r="F10" s="41">
        <v>1780604.7194814864</v>
      </c>
      <c r="G10" s="41">
        <v>1318279.0696229923</v>
      </c>
      <c r="H10" s="41">
        <v>5722926.357651528</v>
      </c>
      <c r="I10" s="43">
        <v>1318279.0696229923</v>
      </c>
    </row>
    <row r="11" spans="1:9" x14ac:dyDescent="0.2">
      <c r="A11" s="1">
        <v>2</v>
      </c>
      <c r="B11" s="45" t="str">
        <f>[1]Results_Main!B20</f>
        <v>ΧΤ Εμπορικοί χωρίς Ωριαίο Μετρητή</v>
      </c>
      <c r="C11" s="46">
        <f>'ΧΧΔ βάσει τρέχουσας'!K42</f>
        <v>182520595.88231871</v>
      </c>
      <c r="D11" s="47">
        <v>156474620.2928361</v>
      </c>
      <c r="E11" s="48">
        <v>157411984.9971675</v>
      </c>
      <c r="F11" s="47">
        <v>156311630.97164556</v>
      </c>
      <c r="G11" s="47">
        <v>156509505.30022562</v>
      </c>
      <c r="H11" s="47">
        <v>156690730.22197813</v>
      </c>
      <c r="I11" s="49">
        <v>158586053.37591404</v>
      </c>
    </row>
    <row r="12" spans="1:9" x14ac:dyDescent="0.2">
      <c r="A12" s="1">
        <v>3</v>
      </c>
      <c r="B12" s="45" t="str">
        <f>[1]Results_Main!B21</f>
        <v>ΧΤ Βιομηχανικοί χωρίς Ωριαίο Μετρητή</v>
      </c>
      <c r="C12" s="46">
        <f>'ΧΧΔ βάσει τρέχουσας'!K43</f>
        <v>9872253.9273103792</v>
      </c>
      <c r="D12" s="47">
        <v>9683810.2464396823</v>
      </c>
      <c r="E12" s="48">
        <v>9739269.8799323961</v>
      </c>
      <c r="F12" s="47">
        <v>9733370.0866038445</v>
      </c>
      <c r="G12" s="47">
        <v>9745077.4164083041</v>
      </c>
      <c r="H12" s="47">
        <v>9620330.1600476913</v>
      </c>
      <c r="I12" s="49">
        <v>9732467.8658753447</v>
      </c>
    </row>
    <row r="13" spans="1:9" x14ac:dyDescent="0.2">
      <c r="A13" s="1">
        <v>4</v>
      </c>
      <c r="B13" s="45" t="str">
        <f>[1]Results_Main!B22</f>
        <v>ΧΤ ΦΟΠ, χωρίς Ωριαίο Μετρητή</v>
      </c>
      <c r="C13" s="46">
        <f>'ΧΧΔ βάσει τρέχουσας'!K44</f>
        <v>19000337.909505211</v>
      </c>
      <c r="D13" s="47">
        <v>15370552.592170009</v>
      </c>
      <c r="E13" s="48">
        <v>15466739.132782442</v>
      </c>
      <c r="F13" s="47">
        <v>15313457.775439108</v>
      </c>
      <c r="G13" s="47">
        <v>15333762.409328325</v>
      </c>
      <c r="H13" s="47">
        <v>15444733.453290442</v>
      </c>
      <c r="I13" s="49">
        <v>15639219.736673364</v>
      </c>
    </row>
    <row r="14" spans="1:9" x14ac:dyDescent="0.2">
      <c r="A14" s="1">
        <v>5</v>
      </c>
      <c r="B14" s="45" t="str">
        <f>[1]Results_Main!B23</f>
        <v>ΧΤ Λοιποί χωρίς Ωριαίο Μετρητή</v>
      </c>
      <c r="C14" s="46">
        <f>'ΧΧΔ βάσει τρέχουσας'!K45</f>
        <v>376018115.85060334</v>
      </c>
      <c r="D14" s="47">
        <v>415285874.87927526</v>
      </c>
      <c r="E14" s="48">
        <v>417399516.84820116</v>
      </c>
      <c r="F14" s="47">
        <v>418839126.98908061</v>
      </c>
      <c r="G14" s="47">
        <v>419285309.23119754</v>
      </c>
      <c r="H14" s="47">
        <v>410722383.74538338</v>
      </c>
      <c r="I14" s="49">
        <v>414996104.04264313</v>
      </c>
    </row>
    <row r="15" spans="1:9" x14ac:dyDescent="0.2">
      <c r="A15" s="1">
        <v>6</v>
      </c>
      <c r="B15" s="45" t="str">
        <f>[1]Results_Main!B24</f>
        <v>ΧΤ Αγροτικοί με Ωριαίο Μετρητή</v>
      </c>
      <c r="C15" s="46">
        <f>'ΧΧΔ βάσει τρέχουσας'!K46</f>
        <v>0</v>
      </c>
      <c r="D15" s="47">
        <v>1765491.5264742859</v>
      </c>
      <c r="E15" s="48">
        <v>127302.48283895107</v>
      </c>
      <c r="F15" s="47">
        <v>473954.23714833939</v>
      </c>
      <c r="G15" s="47">
        <v>127302.48283895107</v>
      </c>
      <c r="H15" s="47">
        <v>3429906.8483473752</v>
      </c>
      <c r="I15" s="49">
        <v>127302.48283895107</v>
      </c>
    </row>
    <row r="16" spans="1:9" x14ac:dyDescent="0.2">
      <c r="A16" s="1">
        <v>7</v>
      </c>
      <c r="B16" s="45" t="str">
        <f>[1]Results_Main!B25</f>
        <v>ΧΤ Λοιποί με Ωριαίο Μετρητή</v>
      </c>
      <c r="C16" s="46">
        <f>'ΧΧΔ βάσει τρέχουσας'!K47</f>
        <v>89041392.759803534</v>
      </c>
      <c r="D16" s="47">
        <v>70799363.327639744</v>
      </c>
      <c r="E16" s="48">
        <v>71255934.838238984</v>
      </c>
      <c r="F16" s="47">
        <v>70598350.024931744</v>
      </c>
      <c r="G16" s="47">
        <v>70694730.633985147</v>
      </c>
      <c r="H16" s="47">
        <v>71061304.42042613</v>
      </c>
      <c r="I16" s="49">
        <v>71984478.241104037</v>
      </c>
    </row>
    <row r="17" spans="1:9" ht="13.5" customHeight="1" x14ac:dyDescent="0.2">
      <c r="A17" s="1">
        <v>8</v>
      </c>
      <c r="B17" s="50" t="str">
        <f>[1]Results_Main!B26</f>
        <v>MΤ Αγροτικοί με Ωριαίο Μετρητή</v>
      </c>
      <c r="C17" s="46">
        <f>'ΧΧΔ βάσει τρέχουσας'!K48</f>
        <v>0</v>
      </c>
      <c r="D17" s="47">
        <v>448628.17602861475</v>
      </c>
      <c r="E17" s="48">
        <v>130134.31195853552</v>
      </c>
      <c r="F17" s="47">
        <v>201160.34289777844</v>
      </c>
      <c r="G17" s="47">
        <v>130134.31195853552</v>
      </c>
      <c r="H17" s="47">
        <v>729811.53836537199</v>
      </c>
      <c r="I17" s="49">
        <v>130134.31195853552</v>
      </c>
    </row>
    <row r="18" spans="1:9" ht="13.5" thickBot="1" x14ac:dyDescent="0.25">
      <c r="A18" s="1">
        <v>9</v>
      </c>
      <c r="B18" s="51" t="str">
        <f>[1]Results_Main!B27</f>
        <v>MΤ Λοιποί με Ωριαίο Μετρητή</v>
      </c>
      <c r="C18" s="52">
        <f>'ΧΧΔ βάσει τρέχουσας'!K49</f>
        <v>65332121.290458769</v>
      </c>
      <c r="D18" s="53">
        <v>68453362.715589747</v>
      </c>
      <c r="E18" s="54">
        <v>68935656.059256941</v>
      </c>
      <c r="F18" s="53">
        <v>68533162.47277151</v>
      </c>
      <c r="G18" s="53">
        <v>68640716.764434606</v>
      </c>
      <c r="H18" s="53">
        <v>68362690.874509841</v>
      </c>
      <c r="I18" s="55">
        <v>69270778.49336952</v>
      </c>
    </row>
    <row r="19" spans="1:9" ht="13.5" thickBot="1" x14ac:dyDescent="0.25">
      <c r="B19" s="56"/>
      <c r="C19" s="57"/>
      <c r="D19" s="57"/>
      <c r="E19" s="57"/>
      <c r="F19" s="57"/>
      <c r="G19" s="57"/>
      <c r="H19" s="57"/>
      <c r="I19" s="57"/>
    </row>
    <row r="20" spans="1:9" ht="13.5" thickBot="1" x14ac:dyDescent="0.25">
      <c r="B20" s="1"/>
      <c r="C20" s="58" t="s">
        <v>20</v>
      </c>
      <c r="D20" s="59"/>
      <c r="E20" s="59"/>
      <c r="F20" s="59"/>
      <c r="G20" s="59"/>
      <c r="H20" s="59"/>
      <c r="I20" s="60"/>
    </row>
    <row r="21" spans="1:9" x14ac:dyDescent="0.2">
      <c r="B21" s="39" t="s">
        <v>21</v>
      </c>
      <c r="C21" s="61">
        <v>0</v>
      </c>
      <c r="D21" s="62">
        <v>7.4296708965850985E-2</v>
      </c>
      <c r="E21" s="63">
        <v>7.4296708965850985E-2</v>
      </c>
      <c r="F21" s="62">
        <v>7.4296708965850985E-2</v>
      </c>
      <c r="G21" s="62">
        <v>7.4296708965850985E-2</v>
      </c>
      <c r="H21" s="62">
        <v>7.4296708965850985E-2</v>
      </c>
      <c r="I21" s="64">
        <v>7.4296708965850985E-2</v>
      </c>
    </row>
    <row r="22" spans="1:9" x14ac:dyDescent="0.2">
      <c r="B22" s="45" t="s">
        <v>22</v>
      </c>
      <c r="C22" s="65">
        <v>0.13157678514343138</v>
      </c>
      <c r="D22" s="66">
        <v>0.6639690434442278</v>
      </c>
      <c r="E22" s="67">
        <v>0.6639690434442278</v>
      </c>
      <c r="F22" s="66">
        <v>0.72567924232370251</v>
      </c>
      <c r="G22" s="66">
        <v>0.72567924232370251</v>
      </c>
      <c r="H22" s="66">
        <v>0.58447313599148298</v>
      </c>
      <c r="I22" s="68">
        <v>0.58447313599148298</v>
      </c>
    </row>
    <row r="23" spans="1:9" x14ac:dyDescent="0.2">
      <c r="B23" s="45" t="s">
        <v>23</v>
      </c>
      <c r="C23" s="65">
        <v>4.4027214759034566E-2</v>
      </c>
      <c r="D23" s="66">
        <v>0.16173424758992105</v>
      </c>
      <c r="E23" s="67">
        <v>0.16173424758992105</v>
      </c>
      <c r="F23" s="66">
        <v>0.17872632691130183</v>
      </c>
      <c r="G23" s="66">
        <v>0.17872632691130183</v>
      </c>
      <c r="H23" s="66">
        <v>0.14123015504266589</v>
      </c>
      <c r="I23" s="68">
        <v>0.14123015504266589</v>
      </c>
    </row>
    <row r="24" spans="1:9" ht="13.5" thickBot="1" x14ac:dyDescent="0.25">
      <c r="B24" s="69" t="s">
        <v>24</v>
      </c>
      <c r="C24" s="70">
        <v>0.82399999999999995</v>
      </c>
      <c r="D24" s="71">
        <v>0.10000000000000005</v>
      </c>
      <c r="E24" s="72">
        <v>0.10000000000000007</v>
      </c>
      <c r="F24" s="71">
        <v>2.1297721799144638E-2</v>
      </c>
      <c r="G24" s="71">
        <v>2.1297721799144638E-2</v>
      </c>
      <c r="H24" s="73">
        <v>0.20000000000000007</v>
      </c>
      <c r="I24" s="74">
        <v>0.20000000000000007</v>
      </c>
    </row>
    <row r="25" spans="1:9" ht="13.5" thickBot="1" x14ac:dyDescent="0.25">
      <c r="B25" s="1"/>
      <c r="C25" s="1"/>
      <c r="D25" s="1"/>
      <c r="E25" s="1"/>
      <c r="F25" s="1"/>
      <c r="G25" s="1"/>
      <c r="H25" s="1"/>
      <c r="I25" s="1"/>
    </row>
    <row r="26" spans="1:9" ht="13.5" thickBot="1" x14ac:dyDescent="0.25">
      <c r="B26" s="1"/>
      <c r="C26" s="58" t="s">
        <v>25</v>
      </c>
      <c r="D26" s="59"/>
      <c r="E26" s="59"/>
      <c r="F26" s="59"/>
      <c r="G26" s="59"/>
      <c r="H26" s="59"/>
      <c r="I26" s="60"/>
    </row>
    <row r="27" spans="1:9" x14ac:dyDescent="0.2">
      <c r="A27" s="1">
        <v>1</v>
      </c>
      <c r="B27" s="39" t="str">
        <f t="shared" ref="B27:B35" si="0">B10</f>
        <v>ΧΤ Αγροτικοί Χωρίς Ωριαίο Μετρητή</v>
      </c>
      <c r="C27" s="75">
        <f>'ΧΧΔ βάσει τρέχουσας'!N41</f>
        <v>0</v>
      </c>
      <c r="D27" s="76">
        <v>3.2295191008031545</v>
      </c>
      <c r="E27" s="77">
        <v>1.2153208834686131</v>
      </c>
      <c r="F27" s="76">
        <v>1.6415386928713771</v>
      </c>
      <c r="G27" s="76">
        <v>1.2153208834686131</v>
      </c>
      <c r="H27" s="76">
        <v>5.2759632442590059</v>
      </c>
      <c r="I27" s="78">
        <v>1.2153208834686131</v>
      </c>
    </row>
    <row r="28" spans="1:9" ht="13.5" customHeight="1" x14ac:dyDescent="0.2">
      <c r="A28" s="1">
        <v>2</v>
      </c>
      <c r="B28" s="45" t="str">
        <f t="shared" si="0"/>
        <v>ΧΤ Εμπορικοί χωρίς Ωριαίο Μετρητή</v>
      </c>
      <c r="C28" s="79">
        <f>'ΧΧΔ βάσει τρέχουσας'!N42</f>
        <v>23.359553508548991</v>
      </c>
      <c r="D28" s="80">
        <v>20.026108548413291</v>
      </c>
      <c r="E28" s="81">
        <v>20.146075398521386</v>
      </c>
      <c r="F28" s="80">
        <v>20.005248668182968</v>
      </c>
      <c r="G28" s="80">
        <v>20.030573240152997</v>
      </c>
      <c r="H28" s="80">
        <v>20.053766969256806</v>
      </c>
      <c r="I28" s="82">
        <v>20.296336321040553</v>
      </c>
    </row>
    <row r="29" spans="1:9" x14ac:dyDescent="0.2">
      <c r="A29" s="1">
        <v>3</v>
      </c>
      <c r="B29" s="45" t="str">
        <f t="shared" si="0"/>
        <v>ΧΤ Βιομηχανικοί χωρίς Ωριαίο Μετρητή</v>
      </c>
      <c r="C29" s="79">
        <f>'ΧΧΔ βάσει τρέχουσας'!N43</f>
        <v>21.35504929512927</v>
      </c>
      <c r="D29" s="80">
        <v>20.947419576122869</v>
      </c>
      <c r="E29" s="81">
        <v>21.067386426230968</v>
      </c>
      <c r="F29" s="80">
        <v>21.054624358086247</v>
      </c>
      <c r="G29" s="80">
        <v>21.079948930056275</v>
      </c>
      <c r="H29" s="80">
        <v>20.810103378206822</v>
      </c>
      <c r="I29" s="82">
        <v>21.052672729990572</v>
      </c>
    </row>
    <row r="30" spans="1:9" x14ac:dyDescent="0.2">
      <c r="A30" s="1">
        <v>4</v>
      </c>
      <c r="B30" s="45" t="str">
        <f t="shared" si="0"/>
        <v>ΧΤ ΦΟΠ, χωρίς Ωριαίο Μετρητή</v>
      </c>
      <c r="C30" s="79">
        <f>'ΧΧΔ βάσει τρέχουσας'!N44</f>
        <v>23.697813389268671</v>
      </c>
      <c r="D30" s="80">
        <v>19.170632056862726</v>
      </c>
      <c r="E30" s="81">
        <v>19.290598906970821</v>
      </c>
      <c r="F30" s="80">
        <v>19.099421622667947</v>
      </c>
      <c r="G30" s="80">
        <v>19.124746194637975</v>
      </c>
      <c r="H30" s="80">
        <v>19.263152737929552</v>
      </c>
      <c r="I30" s="82">
        <v>19.505722089713306</v>
      </c>
    </row>
    <row r="31" spans="1:9" x14ac:dyDescent="0.2">
      <c r="A31" s="1">
        <v>5</v>
      </c>
      <c r="B31" s="45" t="str">
        <f t="shared" si="0"/>
        <v>ΧΤ Λοιποί χωρίς Ωριαίο Μετρητή</v>
      </c>
      <c r="C31" s="79">
        <f>'ΧΧΔ βάσει τρέχουσας'!N45</f>
        <v>21.342171287931528</v>
      </c>
      <c r="D31" s="80">
        <v>23.570944860149808</v>
      </c>
      <c r="E31" s="81">
        <v>23.6909117102579</v>
      </c>
      <c r="F31" s="80">
        <v>23.772621619752528</v>
      </c>
      <c r="G31" s="80">
        <v>23.797946191722556</v>
      </c>
      <c r="H31" s="80">
        <v>23.31192859113267</v>
      </c>
      <c r="I31" s="82">
        <v>23.554497942916417</v>
      </c>
    </row>
    <row r="32" spans="1:9" x14ac:dyDescent="0.2">
      <c r="A32" s="1">
        <v>6</v>
      </c>
      <c r="B32" s="45" t="str">
        <f t="shared" si="0"/>
        <v>ΧΤ Αγροτικοί με Ωριαίο Μετρητή</v>
      </c>
      <c r="C32" s="79">
        <f>'ΧΧΔ βάσει τρέχουσας'!N46</f>
        <v>0</v>
      </c>
      <c r="D32" s="80">
        <v>2.170720100442407</v>
      </c>
      <c r="E32" s="81">
        <v>0.15652188310786574</v>
      </c>
      <c r="F32" s="80">
        <v>0.58273969251062974</v>
      </c>
      <c r="G32" s="80">
        <v>0.15652188310786574</v>
      </c>
      <c r="H32" s="80">
        <v>4.2171642438982584</v>
      </c>
      <c r="I32" s="82">
        <v>0.15652188310786574</v>
      </c>
    </row>
    <row r="33" spans="1:9" x14ac:dyDescent="0.2">
      <c r="A33" s="1">
        <v>7</v>
      </c>
      <c r="B33" s="45" t="str">
        <f t="shared" si="0"/>
        <v>ΧΤ Λοιποί με Ωριαίο Μετρητή</v>
      </c>
      <c r="C33" s="79">
        <f>'ΧΧΔ βάσει τρέχουσας'!N47</f>
        <v>23.39614971729474</v>
      </c>
      <c r="D33" s="80">
        <v>18.602949178602461</v>
      </c>
      <c r="E33" s="81">
        <v>18.722916028710554</v>
      </c>
      <c r="F33" s="80">
        <v>18.55013175089206</v>
      </c>
      <c r="G33" s="80">
        <v>18.575456322862092</v>
      </c>
      <c r="H33" s="80">
        <v>18.671775741552501</v>
      </c>
      <c r="I33" s="82">
        <v>18.914345093336248</v>
      </c>
    </row>
    <row r="34" spans="1:9" x14ac:dyDescent="0.2">
      <c r="A34" s="1">
        <v>8</v>
      </c>
      <c r="B34" s="50" t="str">
        <f t="shared" si="0"/>
        <v>MΤ Αγροτικοί με Ωριαίο Μετρητή</v>
      </c>
      <c r="C34" s="79">
        <f>'ΧΧΔ βάσει τρέχουσας'!N48</f>
        <v>0</v>
      </c>
      <c r="D34" s="80">
        <v>1.1420434736950125</v>
      </c>
      <c r="E34" s="81">
        <v>0.33127442638947618</v>
      </c>
      <c r="F34" s="80">
        <v>0.51208075873951719</v>
      </c>
      <c r="G34" s="80">
        <v>0.33127442638947618</v>
      </c>
      <c r="H34" s="80">
        <v>1.8578336113341414</v>
      </c>
      <c r="I34" s="82">
        <v>0.33127442638947618</v>
      </c>
    </row>
    <row r="35" spans="1:9" ht="13.5" thickBot="1" x14ac:dyDescent="0.25">
      <c r="A35" s="1">
        <v>9</v>
      </c>
      <c r="B35" s="51" t="str">
        <f t="shared" si="0"/>
        <v>MΤ Λοιποί με Ωριαίο Μετρητή</v>
      </c>
      <c r="C35" s="83">
        <f>'ΧΧΔ βάσει τρέχουσας'!N49</f>
        <v>6.1592410777092264</v>
      </c>
      <c r="D35" s="84">
        <v>6.4534987570771545</v>
      </c>
      <c r="E35" s="85">
        <v>6.4989673706036299</v>
      </c>
      <c r="F35" s="84">
        <v>6.4610219467840979</v>
      </c>
      <c r="G35" s="84">
        <v>6.4711617187402242</v>
      </c>
      <c r="H35" s="84">
        <v>6.4449505924509367</v>
      </c>
      <c r="I35" s="86">
        <v>6.5305613219628915</v>
      </c>
    </row>
    <row r="36" spans="1:9" ht="13.5" thickBot="1" x14ac:dyDescent="0.25">
      <c r="B36" s="1"/>
      <c r="C36" s="1"/>
      <c r="D36" s="1"/>
      <c r="E36" s="1"/>
      <c r="F36" s="1"/>
      <c r="G36" s="1"/>
      <c r="H36" s="1"/>
      <c r="I36" s="1"/>
    </row>
    <row r="37" spans="1:9" ht="13.5" thickBot="1" x14ac:dyDescent="0.25">
      <c r="B37" s="87"/>
      <c r="C37" s="58" t="s">
        <v>26</v>
      </c>
      <c r="D37" s="59"/>
      <c r="E37" s="59"/>
      <c r="F37" s="59"/>
      <c r="G37" s="59"/>
      <c r="H37" s="59"/>
      <c r="I37" s="60"/>
    </row>
    <row r="38" spans="1:9" x14ac:dyDescent="0.2">
      <c r="A38" s="1">
        <v>1</v>
      </c>
      <c r="B38" s="39" t="str">
        <f t="shared" ref="B38:B46" si="1">B27</f>
        <v>ΧΤ Αγροτικοί Χωρίς Ωριαίο Μετρητή</v>
      </c>
      <c r="C38" s="75">
        <f>'ΧΧΔ βάσει τρέχουσας'!O41</f>
        <v>0</v>
      </c>
      <c r="D38" s="76">
        <v>18.595305745866163</v>
      </c>
      <c r="E38" s="77">
        <v>6.997717834155182</v>
      </c>
      <c r="F38" s="76">
        <v>9.4518449759351029</v>
      </c>
      <c r="G38" s="76">
        <v>6.997717834155182</v>
      </c>
      <c r="H38" s="76">
        <v>30.378563051864131</v>
      </c>
      <c r="I38" s="78">
        <v>6.997717834155182</v>
      </c>
    </row>
    <row r="39" spans="1:9" ht="13.5" customHeight="1" x14ac:dyDescent="0.2">
      <c r="A39" s="1">
        <v>2</v>
      </c>
      <c r="B39" s="45" t="str">
        <f t="shared" si="1"/>
        <v>ΧΤ Εμπορικοί χωρίς Ωριαίο Μετρητή</v>
      </c>
      <c r="C39" s="79">
        <f>'ΧΧΔ βάσει τρέχουσας'!O42</f>
        <v>142.0775195537469</v>
      </c>
      <c r="D39" s="80">
        <v>121.80283445192374</v>
      </c>
      <c r="E39" s="81">
        <v>122.53249704953275</v>
      </c>
      <c r="F39" s="80">
        <v>121.67596044980603</v>
      </c>
      <c r="G39" s="80">
        <v>121.82998960828053</v>
      </c>
      <c r="H39" s="80">
        <v>121.97105855033307</v>
      </c>
      <c r="I39" s="82">
        <v>123.44641431038998</v>
      </c>
    </row>
    <row r="40" spans="1:9" x14ac:dyDescent="0.2">
      <c r="A40" s="1">
        <v>3</v>
      </c>
      <c r="B40" s="45" t="str">
        <f t="shared" si="1"/>
        <v>ΧΤ Βιομηχανικοί χωρίς Ωριαίο Μετρητή</v>
      </c>
      <c r="C40" s="79">
        <f>'ΧΧΔ βάσει τρέχουσας'!O43</f>
        <v>215.34921203477913</v>
      </c>
      <c r="D40" s="80">
        <v>211.23858051261223</v>
      </c>
      <c r="E40" s="81">
        <v>212.44835372755702</v>
      </c>
      <c r="F40" s="80">
        <v>212.3196581071013</v>
      </c>
      <c r="G40" s="80">
        <v>212.57503689567227</v>
      </c>
      <c r="H40" s="80">
        <v>209.85385249760469</v>
      </c>
      <c r="I40" s="82">
        <v>212.29997744203791</v>
      </c>
    </row>
    <row r="41" spans="1:9" x14ac:dyDescent="0.2">
      <c r="A41" s="1">
        <v>4</v>
      </c>
      <c r="B41" s="45" t="str">
        <f t="shared" si="1"/>
        <v>ΧΤ ΦΟΠ, χωρίς Ωριαίο Μετρητή</v>
      </c>
      <c r="C41" s="79">
        <f>'ΧΧΔ βάσει τρέχουσας'!O44</f>
        <v>198.17409711928002</v>
      </c>
      <c r="D41" s="80">
        <v>160.3153268476278</v>
      </c>
      <c r="E41" s="81">
        <v>161.31855536554588</v>
      </c>
      <c r="F41" s="80">
        <v>159.71982618812757</v>
      </c>
      <c r="G41" s="80">
        <v>159.93160413163037</v>
      </c>
      <c r="H41" s="80">
        <v>161.08903546513181</v>
      </c>
      <c r="I41" s="82">
        <v>163.11753326317432</v>
      </c>
    </row>
    <row r="42" spans="1:9" x14ac:dyDescent="0.2">
      <c r="A42" s="1">
        <v>5</v>
      </c>
      <c r="B42" s="45" t="str">
        <f t="shared" si="1"/>
        <v>ΧΤ Λοιποί χωρίς Ωριαίο Μετρητή</v>
      </c>
      <c r="C42" s="79">
        <f>'ΧΧΔ βάσει τρέχουσας'!O45</f>
        <v>64.90549642814355</v>
      </c>
      <c r="D42" s="80">
        <v>71.683609731570925</v>
      </c>
      <c r="E42" s="81">
        <v>72.048451146070747</v>
      </c>
      <c r="F42" s="80">
        <v>72.296946117238292</v>
      </c>
      <c r="G42" s="80">
        <v>72.373962831862571</v>
      </c>
      <c r="H42" s="80">
        <v>70.895893275887261</v>
      </c>
      <c r="I42" s="82">
        <v>71.6335916095465</v>
      </c>
    </row>
    <row r="43" spans="1:9" x14ac:dyDescent="0.2">
      <c r="A43" s="1">
        <v>6</v>
      </c>
      <c r="B43" s="45" t="str">
        <f t="shared" si="1"/>
        <v>ΧΤ Αγροτικοί με Ωριαίο Μετρητή</v>
      </c>
      <c r="C43" s="79">
        <f>'ΧΧΔ βάσει τρέχουσας'!O46</f>
        <v>0</v>
      </c>
      <c r="D43" s="80">
        <v>97.047687251225042</v>
      </c>
      <c r="E43" s="81">
        <v>6.997717834155182</v>
      </c>
      <c r="F43" s="80">
        <v>26.052893422841876</v>
      </c>
      <c r="G43" s="80">
        <v>6.997717834155182</v>
      </c>
      <c r="H43" s="80">
        <v>188.53929465409934</v>
      </c>
      <c r="I43" s="82">
        <v>6.997717834155182</v>
      </c>
    </row>
    <row r="44" spans="1:9" x14ac:dyDescent="0.2">
      <c r="A44" s="1">
        <v>7</v>
      </c>
      <c r="B44" s="45" t="str">
        <f t="shared" si="1"/>
        <v>ΧΤ Λοιποί με Ωριαίο Μετρητή</v>
      </c>
      <c r="C44" s="79">
        <f>'ΧΧΔ βάσει τρέχουσας'!O47</f>
        <v>2299.0883513595377</v>
      </c>
      <c r="D44" s="80">
        <v>1828.0710405029756</v>
      </c>
      <c r="E44" s="81">
        <v>1839.8599199111513</v>
      </c>
      <c r="F44" s="80">
        <v>1822.8807876509011</v>
      </c>
      <c r="G44" s="80">
        <v>1825.3693778301827</v>
      </c>
      <c r="H44" s="80">
        <v>1834.8344759850791</v>
      </c>
      <c r="I44" s="82">
        <v>1858.6712345039643</v>
      </c>
    </row>
    <row r="45" spans="1:9" x14ac:dyDescent="0.2">
      <c r="A45" s="1">
        <v>8</v>
      </c>
      <c r="B45" s="50" t="str">
        <f t="shared" si="1"/>
        <v>MΤ Αγροτικοί με Ωριαίο Μετρητή</v>
      </c>
      <c r="C45" s="79">
        <f>'ΧΧΔ βάσει τρέχουσας'!O48</f>
        <v>0</v>
      </c>
      <c r="D45" s="80">
        <v>843.28604516656912</v>
      </c>
      <c r="E45" s="81">
        <v>244.61336834311186</v>
      </c>
      <c r="F45" s="80">
        <v>378.120945296576</v>
      </c>
      <c r="G45" s="80">
        <v>244.61336834311186</v>
      </c>
      <c r="H45" s="80">
        <v>1371.8261999349097</v>
      </c>
      <c r="I45" s="82">
        <v>244.61336834311186</v>
      </c>
    </row>
    <row r="46" spans="1:9" ht="13.5" thickBot="1" x14ac:dyDescent="0.25">
      <c r="A46" s="1">
        <v>9</v>
      </c>
      <c r="B46" s="51" t="str">
        <f t="shared" si="1"/>
        <v>MΤ Λοιποί με Ωριαίο Μετρητή</v>
      </c>
      <c r="C46" s="83">
        <f>'ΧΧΔ βάσει τρέχουσας'!O49</f>
        <v>5823.865331650808</v>
      </c>
      <c r="D46" s="84">
        <v>6102.100438187711</v>
      </c>
      <c r="E46" s="85">
        <v>6145.0932482846265</v>
      </c>
      <c r="F46" s="84">
        <v>6109.213984023133</v>
      </c>
      <c r="G46" s="84">
        <v>6118.8016370506866</v>
      </c>
      <c r="H46" s="84">
        <v>6094.0177281609767</v>
      </c>
      <c r="I46" s="86">
        <v>6174.9668829889033</v>
      </c>
    </row>
    <row r="47" spans="1:9" ht="13.5" thickBot="1" x14ac:dyDescent="0.25">
      <c r="B47" s="1"/>
      <c r="C47" s="1"/>
      <c r="D47" s="1"/>
      <c r="E47" s="1"/>
      <c r="F47" s="1"/>
      <c r="G47" s="1"/>
      <c r="H47" s="1"/>
      <c r="I47" s="1"/>
    </row>
    <row r="48" spans="1:9" ht="13.5" thickBot="1" x14ac:dyDescent="0.25">
      <c r="B48" s="1"/>
      <c r="C48" s="58" t="s">
        <v>27</v>
      </c>
      <c r="D48" s="59"/>
      <c r="E48" s="59"/>
      <c r="F48" s="59"/>
      <c r="G48" s="59"/>
      <c r="H48" s="59"/>
      <c r="I48" s="60"/>
    </row>
    <row r="49" spans="1:11" x14ac:dyDescent="0.2">
      <c r="A49" s="1">
        <v>1</v>
      </c>
      <c r="B49" s="39" t="str">
        <f t="shared" ref="B49:B57" si="2">B38</f>
        <v>ΧΤ Αγροτικοί Χωρίς Ωριαίο Μετρητή</v>
      </c>
      <c r="C49" s="88"/>
      <c r="D49" s="90">
        <f>D38-$C38</f>
        <v>18.595305745866163</v>
      </c>
      <c r="E49" s="89">
        <f t="shared" ref="E49:I57" si="3">E38-$C38</f>
        <v>6.997717834155182</v>
      </c>
      <c r="F49" s="90">
        <f t="shared" si="3"/>
        <v>9.4518449759351029</v>
      </c>
      <c r="G49" s="90">
        <f t="shared" si="3"/>
        <v>6.997717834155182</v>
      </c>
      <c r="H49" s="90">
        <f t="shared" si="3"/>
        <v>30.378563051864131</v>
      </c>
      <c r="I49" s="91">
        <f t="shared" si="3"/>
        <v>6.997717834155182</v>
      </c>
    </row>
    <row r="50" spans="1:11" x14ac:dyDescent="0.2">
      <c r="A50" s="1">
        <v>2</v>
      </c>
      <c r="B50" s="45" t="str">
        <f t="shared" si="2"/>
        <v>ΧΤ Εμπορικοί χωρίς Ωριαίο Μετρητή</v>
      </c>
      <c r="C50" s="92"/>
      <c r="D50" s="94">
        <f t="shared" ref="D50:I57" si="4">D39-$C39</f>
        <v>-20.274685101823152</v>
      </c>
      <c r="E50" s="93">
        <f t="shared" si="4"/>
        <v>-19.545022504214145</v>
      </c>
      <c r="F50" s="94">
        <f t="shared" si="3"/>
        <v>-20.401559103940869</v>
      </c>
      <c r="G50" s="94">
        <f t="shared" si="4"/>
        <v>-20.247529945466368</v>
      </c>
      <c r="H50" s="94">
        <f t="shared" si="4"/>
        <v>-20.106461003413827</v>
      </c>
      <c r="I50" s="95">
        <f t="shared" si="4"/>
        <v>-18.631105243356913</v>
      </c>
    </row>
    <row r="51" spans="1:11" x14ac:dyDescent="0.2">
      <c r="A51" s="1">
        <v>3</v>
      </c>
      <c r="B51" s="45" t="str">
        <f t="shared" si="2"/>
        <v>ΧΤ Βιομηχανικοί χωρίς Ωριαίο Μετρητή</v>
      </c>
      <c r="C51" s="92"/>
      <c r="D51" s="94">
        <f t="shared" si="4"/>
        <v>-4.1106315221668979</v>
      </c>
      <c r="E51" s="93">
        <f t="shared" si="4"/>
        <v>-2.9008583072221086</v>
      </c>
      <c r="F51" s="94">
        <f t="shared" si="3"/>
        <v>-3.0295539276778243</v>
      </c>
      <c r="G51" s="94">
        <f t="shared" si="4"/>
        <v>-2.774175139106859</v>
      </c>
      <c r="H51" s="94">
        <f t="shared" si="4"/>
        <v>-5.495359537174437</v>
      </c>
      <c r="I51" s="95">
        <f t="shared" si="4"/>
        <v>-3.0492345927412146</v>
      </c>
    </row>
    <row r="52" spans="1:11" x14ac:dyDescent="0.2">
      <c r="A52" s="1">
        <v>4</v>
      </c>
      <c r="B52" s="45" t="str">
        <f t="shared" si="2"/>
        <v>ΧΤ ΦΟΠ, χωρίς Ωριαίο Μετρητή</v>
      </c>
      <c r="C52" s="92"/>
      <c r="D52" s="94">
        <f t="shared" si="4"/>
        <v>-37.858770271652219</v>
      </c>
      <c r="E52" s="93">
        <f t="shared" si="4"/>
        <v>-36.855541753734144</v>
      </c>
      <c r="F52" s="94">
        <f t="shared" si="3"/>
        <v>-38.45427093115245</v>
      </c>
      <c r="G52" s="94">
        <f t="shared" si="4"/>
        <v>-38.242492987649655</v>
      </c>
      <c r="H52" s="94">
        <f t="shared" si="4"/>
        <v>-37.085061654148205</v>
      </c>
      <c r="I52" s="95">
        <f t="shared" si="4"/>
        <v>-35.056563856105697</v>
      </c>
      <c r="J52" s="96"/>
      <c r="K52" s="96"/>
    </row>
    <row r="53" spans="1:11" x14ac:dyDescent="0.2">
      <c r="A53" s="1">
        <v>5</v>
      </c>
      <c r="B53" s="45" t="str">
        <f t="shared" si="2"/>
        <v>ΧΤ Λοιποί χωρίς Ωριαίο Μετρητή</v>
      </c>
      <c r="C53" s="92"/>
      <c r="D53" s="94">
        <f t="shared" si="4"/>
        <v>6.7781133034273751</v>
      </c>
      <c r="E53" s="93">
        <f t="shared" si="4"/>
        <v>7.1429547179271964</v>
      </c>
      <c r="F53" s="94">
        <f t="shared" si="3"/>
        <v>7.3914496890947419</v>
      </c>
      <c r="G53" s="94">
        <f t="shared" si="4"/>
        <v>7.4684664037190203</v>
      </c>
      <c r="H53" s="94">
        <f t="shared" si="4"/>
        <v>5.9903968477437104</v>
      </c>
      <c r="I53" s="95">
        <f t="shared" si="4"/>
        <v>6.7280951814029493</v>
      </c>
      <c r="J53" s="96"/>
      <c r="K53" s="96"/>
    </row>
    <row r="54" spans="1:11" x14ac:dyDescent="0.2">
      <c r="A54" s="1">
        <v>6</v>
      </c>
      <c r="B54" s="45" t="str">
        <f t="shared" si="2"/>
        <v>ΧΤ Αγροτικοί με Ωριαίο Μετρητή</v>
      </c>
      <c r="C54" s="92"/>
      <c r="D54" s="94">
        <f t="shared" si="4"/>
        <v>97.047687251225042</v>
      </c>
      <c r="E54" s="93">
        <f t="shared" si="4"/>
        <v>6.997717834155182</v>
      </c>
      <c r="F54" s="94">
        <f t="shared" si="3"/>
        <v>26.052893422841876</v>
      </c>
      <c r="G54" s="94">
        <f t="shared" si="4"/>
        <v>6.997717834155182</v>
      </c>
      <c r="H54" s="94">
        <f t="shared" si="4"/>
        <v>188.53929465409934</v>
      </c>
      <c r="I54" s="95">
        <f t="shared" si="4"/>
        <v>6.997717834155182</v>
      </c>
      <c r="J54" s="96"/>
      <c r="K54" s="96"/>
    </row>
    <row r="55" spans="1:11" x14ac:dyDescent="0.2">
      <c r="A55" s="1">
        <v>7</v>
      </c>
      <c r="B55" s="45" t="str">
        <f t="shared" si="2"/>
        <v>ΧΤ Λοιποί με Ωριαίο Μετρητή</v>
      </c>
      <c r="C55" s="92"/>
      <c r="D55" s="94">
        <f t="shared" si="4"/>
        <v>-471.01731085656206</v>
      </c>
      <c r="E55" s="93">
        <f t="shared" si="4"/>
        <v>-459.22843144838635</v>
      </c>
      <c r="F55" s="94">
        <f t="shared" si="3"/>
        <v>-476.2075637086366</v>
      </c>
      <c r="G55" s="94">
        <f t="shared" si="4"/>
        <v>-473.71897352935503</v>
      </c>
      <c r="H55" s="94">
        <f t="shared" si="4"/>
        <v>-464.25387537445863</v>
      </c>
      <c r="I55" s="95">
        <f t="shared" si="4"/>
        <v>-440.41711685557334</v>
      </c>
      <c r="J55" s="96"/>
      <c r="K55" s="96"/>
    </row>
    <row r="56" spans="1:11" x14ac:dyDescent="0.2">
      <c r="A56" s="1">
        <v>8</v>
      </c>
      <c r="B56" s="50" t="str">
        <f t="shared" si="2"/>
        <v>MΤ Αγροτικοί με Ωριαίο Μετρητή</v>
      </c>
      <c r="C56" s="92"/>
      <c r="D56" s="94">
        <f t="shared" si="4"/>
        <v>843.28604516656912</v>
      </c>
      <c r="E56" s="93">
        <f t="shared" si="4"/>
        <v>244.61336834311186</v>
      </c>
      <c r="F56" s="94">
        <f t="shared" si="3"/>
        <v>378.120945296576</v>
      </c>
      <c r="G56" s="94">
        <f t="shared" si="4"/>
        <v>244.61336834311186</v>
      </c>
      <c r="H56" s="94">
        <f t="shared" si="4"/>
        <v>1371.8261999349097</v>
      </c>
      <c r="I56" s="95">
        <f t="shared" si="4"/>
        <v>244.61336834311186</v>
      </c>
      <c r="J56" s="96"/>
      <c r="K56" s="96"/>
    </row>
    <row r="57" spans="1:11" ht="13.5" thickBot="1" x14ac:dyDescent="0.25">
      <c r="A57" s="1">
        <v>9</v>
      </c>
      <c r="B57" s="51" t="str">
        <f t="shared" si="2"/>
        <v>MΤ Λοιποί με Ωριαίο Μετρητή</v>
      </c>
      <c r="C57" s="97"/>
      <c r="D57" s="99">
        <f t="shared" si="4"/>
        <v>278.235106536903</v>
      </c>
      <c r="E57" s="98">
        <f t="shared" si="4"/>
        <v>321.2279166338185</v>
      </c>
      <c r="F57" s="99">
        <f t="shared" si="3"/>
        <v>285.34865237232498</v>
      </c>
      <c r="G57" s="99">
        <f t="shared" si="4"/>
        <v>294.93630539987862</v>
      </c>
      <c r="H57" s="99">
        <f t="shared" si="4"/>
        <v>270.15239651016873</v>
      </c>
      <c r="I57" s="100">
        <f t="shared" si="4"/>
        <v>351.10155133809531</v>
      </c>
      <c r="J57" s="96"/>
      <c r="K57" s="96"/>
    </row>
    <row r="58" spans="1:11" ht="13.5" thickBot="1" x14ac:dyDescent="0.25">
      <c r="B58" s="1"/>
      <c r="C58" s="1"/>
      <c r="D58" s="1"/>
      <c r="E58" s="1"/>
      <c r="F58" s="1"/>
      <c r="G58" s="1"/>
      <c r="H58" s="1"/>
      <c r="I58" s="1"/>
      <c r="J58" s="96"/>
      <c r="K58" s="96"/>
    </row>
    <row r="59" spans="1:11" ht="13.5" thickBot="1" x14ac:dyDescent="0.25">
      <c r="B59" s="1"/>
      <c r="C59" s="58" t="s">
        <v>28</v>
      </c>
      <c r="D59" s="59"/>
      <c r="E59" s="59"/>
      <c r="F59" s="59"/>
      <c r="G59" s="59"/>
      <c r="H59" s="59"/>
      <c r="I59" s="60"/>
      <c r="J59" s="96"/>
      <c r="K59" s="96"/>
    </row>
    <row r="60" spans="1:11" x14ac:dyDescent="0.2">
      <c r="A60" s="1">
        <v>1</v>
      </c>
      <c r="B60" s="39" t="str">
        <f t="shared" ref="B60:B68" si="5">B49</f>
        <v>ΧΤ Αγροτικοί Χωρίς Ωριαίο Μετρητή</v>
      </c>
      <c r="C60" s="88"/>
      <c r="D60" s="101" t="str">
        <f>IFERROR(D49/$C38,"")</f>
        <v/>
      </c>
      <c r="E60" s="102" t="str">
        <f t="shared" ref="E60:I63" si="6">IFERROR(E49/$C38,"")</f>
        <v/>
      </c>
      <c r="F60" s="101" t="str">
        <f t="shared" si="6"/>
        <v/>
      </c>
      <c r="G60" s="101" t="str">
        <f t="shared" si="6"/>
        <v/>
      </c>
      <c r="H60" s="101" t="str">
        <f t="shared" si="6"/>
        <v/>
      </c>
      <c r="I60" s="103" t="str">
        <f t="shared" si="6"/>
        <v/>
      </c>
    </row>
    <row r="61" spans="1:11" x14ac:dyDescent="0.2">
      <c r="A61" s="1">
        <v>2</v>
      </c>
      <c r="B61" s="45" t="str">
        <f t="shared" si="5"/>
        <v>ΧΤ Εμπορικοί χωρίς Ωριαίο Μετρητή</v>
      </c>
      <c r="C61" s="92"/>
      <c r="D61" s="104">
        <f t="shared" ref="D61:I68" si="7">IFERROR(D50/$C39,"")</f>
        <v>-0.14270156999857664</v>
      </c>
      <c r="E61" s="105">
        <f t="shared" si="7"/>
        <v>-0.13756590462448498</v>
      </c>
      <c r="F61" s="104">
        <f t="shared" si="6"/>
        <v>-0.14359456139169932</v>
      </c>
      <c r="G61" s="104">
        <f t="shared" si="7"/>
        <v>-0.14251044084287293</v>
      </c>
      <c r="H61" s="104">
        <f t="shared" si="7"/>
        <v>-0.14151753962601873</v>
      </c>
      <c r="I61" s="106">
        <f t="shared" si="7"/>
        <v>-0.13113337917128332</v>
      </c>
    </row>
    <row r="62" spans="1:11" x14ac:dyDescent="0.2">
      <c r="A62" s="1">
        <v>3</v>
      </c>
      <c r="B62" s="45" t="str">
        <f t="shared" si="5"/>
        <v>ΧΤ Βιομηχανικοί χωρίς Ωριαίο Μετρητή</v>
      </c>
      <c r="C62" s="92"/>
      <c r="D62" s="104">
        <f t="shared" si="7"/>
        <v>-1.9088212505291295E-2</v>
      </c>
      <c r="E62" s="105">
        <f t="shared" si="7"/>
        <v>-1.3470484892016308E-2</v>
      </c>
      <c r="F62" s="104">
        <f t="shared" si="6"/>
        <v>-1.4068098504063939E-2</v>
      </c>
      <c r="G62" s="104">
        <f t="shared" si="7"/>
        <v>-1.2882216344765759E-2</v>
      </c>
      <c r="H62" s="104">
        <f t="shared" si="7"/>
        <v>-2.5518363801985636E-2</v>
      </c>
      <c r="I62" s="106">
        <f t="shared" si="7"/>
        <v>-1.4159488042374447E-2</v>
      </c>
    </row>
    <row r="63" spans="1:11" x14ac:dyDescent="0.2">
      <c r="A63" s="1">
        <v>4</v>
      </c>
      <c r="B63" s="45" t="str">
        <f t="shared" si="5"/>
        <v>ΧΤ ΦΟΠ, χωρίς Ωριαίο Μετρητή</v>
      </c>
      <c r="C63" s="92"/>
      <c r="D63" s="104">
        <f t="shared" si="7"/>
        <v>-0.19103793493690152</v>
      </c>
      <c r="E63" s="105">
        <f t="shared" si="7"/>
        <v>-0.18597557546358329</v>
      </c>
      <c r="F63" s="104">
        <f t="shared" si="6"/>
        <v>-0.19404287184922564</v>
      </c>
      <c r="G63" s="104">
        <f t="shared" si="7"/>
        <v>-0.19297422591324681</v>
      </c>
      <c r="H63" s="104">
        <f t="shared" si="7"/>
        <v>-0.18713374852328399</v>
      </c>
      <c r="I63" s="106">
        <f t="shared" si="7"/>
        <v>-0.176897810388435</v>
      </c>
    </row>
    <row r="64" spans="1:11" x14ac:dyDescent="0.2">
      <c r="A64" s="1">
        <v>5</v>
      </c>
      <c r="B64" s="45" t="str">
        <f t="shared" si="5"/>
        <v>ΧΤ Λοιποί χωρίς Ωριαίο Μετρητή</v>
      </c>
      <c r="C64" s="92"/>
      <c r="D64" s="104">
        <f t="shared" si="7"/>
        <v>0.10443049782280581</v>
      </c>
      <c r="E64" s="105">
        <f>IFERROR(E53/$C42,"")</f>
        <v>0.11005161521004796</v>
      </c>
      <c r="F64" s="104">
        <f>IFERROR(F53/$C42,"")</f>
        <v>0.11388018112268454</v>
      </c>
      <c r="G64" s="104">
        <f t="shared" si="7"/>
        <v>0.11506677885111487</v>
      </c>
      <c r="H64" s="104">
        <f t="shared" si="7"/>
        <v>9.2294138053094457E-2</v>
      </c>
      <c r="I64" s="106">
        <f t="shared" si="7"/>
        <v>0.10365986783340575</v>
      </c>
    </row>
    <row r="65" spans="1:9" x14ac:dyDescent="0.2">
      <c r="A65" s="1">
        <v>6</v>
      </c>
      <c r="B65" s="45" t="str">
        <f t="shared" si="5"/>
        <v>ΧΤ Αγροτικοί με Ωριαίο Μετρητή</v>
      </c>
      <c r="C65" s="92"/>
      <c r="D65" s="104" t="str">
        <f t="shared" si="7"/>
        <v/>
      </c>
      <c r="E65" s="105" t="str">
        <f t="shared" si="7"/>
        <v/>
      </c>
      <c r="F65" s="104" t="str">
        <f t="shared" si="7"/>
        <v/>
      </c>
      <c r="G65" s="104" t="str">
        <f t="shared" si="7"/>
        <v/>
      </c>
      <c r="H65" s="104" t="str">
        <f t="shared" si="7"/>
        <v/>
      </c>
      <c r="I65" s="106" t="str">
        <f t="shared" si="7"/>
        <v/>
      </c>
    </row>
    <row r="66" spans="1:9" x14ac:dyDescent="0.2">
      <c r="A66" s="1">
        <v>7</v>
      </c>
      <c r="B66" s="45" t="str">
        <f t="shared" si="5"/>
        <v>ΧΤ Λοιποί με Ωριαίο Μετρητή</v>
      </c>
      <c r="C66" s="92"/>
      <c r="D66" s="104">
        <f t="shared" si="7"/>
        <v>-0.204871339797808</v>
      </c>
      <c r="E66" s="105">
        <f t="shared" si="7"/>
        <v>-0.19974370762081728</v>
      </c>
      <c r="F66" s="104">
        <f t="shared" si="7"/>
        <v>-0.20712886628608121</v>
      </c>
      <c r="G66" s="104">
        <f t="shared" si="7"/>
        <v>-0.20604644151636325</v>
      </c>
      <c r="H66" s="104">
        <f t="shared" si="7"/>
        <v>-0.20192954964080775</v>
      </c>
      <c r="I66" s="106">
        <f t="shared" si="7"/>
        <v>-0.19156163206826657</v>
      </c>
    </row>
    <row r="67" spans="1:9" x14ac:dyDescent="0.2">
      <c r="A67" s="1">
        <v>8</v>
      </c>
      <c r="B67" s="50" t="str">
        <f t="shared" si="5"/>
        <v>MΤ Αγροτικοί με Ωριαίο Μετρητή</v>
      </c>
      <c r="C67" s="92"/>
      <c r="D67" s="104" t="str">
        <f t="shared" si="7"/>
        <v/>
      </c>
      <c r="E67" s="105" t="str">
        <f t="shared" si="7"/>
        <v/>
      </c>
      <c r="F67" s="104" t="str">
        <f t="shared" si="7"/>
        <v/>
      </c>
      <c r="G67" s="104" t="str">
        <f t="shared" si="7"/>
        <v/>
      </c>
      <c r="H67" s="104" t="str">
        <f t="shared" si="7"/>
        <v/>
      </c>
      <c r="I67" s="106" t="str">
        <f t="shared" si="7"/>
        <v/>
      </c>
    </row>
    <row r="68" spans="1:9" ht="13.5" thickBot="1" x14ac:dyDescent="0.25">
      <c r="A68" s="1">
        <v>9</v>
      </c>
      <c r="B68" s="51" t="str">
        <f t="shared" si="5"/>
        <v>MΤ Λοιποί με Ωριαίο Μετρητή</v>
      </c>
      <c r="C68" s="97"/>
      <c r="D68" s="107">
        <f t="shared" si="7"/>
        <v>4.7774989752044229E-2</v>
      </c>
      <c r="E68" s="108">
        <f t="shared" si="7"/>
        <v>5.5157167678320025E-2</v>
      </c>
      <c r="F68" s="107">
        <f t="shared" si="7"/>
        <v>4.8996437266766481E-2</v>
      </c>
      <c r="G68" s="107">
        <f t="shared" si="7"/>
        <v>5.0642706965938242E-2</v>
      </c>
      <c r="H68" s="107">
        <f t="shared" si="7"/>
        <v>4.6387129702669908E-2</v>
      </c>
      <c r="I68" s="109">
        <f t="shared" si="7"/>
        <v>6.0286687851446863E-2</v>
      </c>
    </row>
    <row r="69" spans="1:9" ht="13.5" thickBot="1" x14ac:dyDescent="0.25">
      <c r="B69" s="1"/>
      <c r="C69" s="1"/>
      <c r="D69" s="110"/>
      <c r="E69" s="110"/>
      <c r="F69" s="110"/>
      <c r="G69" s="110"/>
      <c r="H69" s="110"/>
      <c r="I69" s="111"/>
    </row>
    <row r="70" spans="1:9" ht="13.5" thickBot="1" x14ac:dyDescent="0.25">
      <c r="B70" s="1"/>
      <c r="C70" s="112" t="s">
        <v>29</v>
      </c>
      <c r="D70" s="113"/>
      <c r="E70" s="113"/>
      <c r="F70" s="113"/>
      <c r="G70" s="113"/>
      <c r="H70" s="113"/>
      <c r="I70" s="114"/>
    </row>
    <row r="71" spans="1:9" x14ac:dyDescent="0.2">
      <c r="A71" s="1">
        <v>1</v>
      </c>
      <c r="B71" s="39" t="str">
        <f t="shared" ref="B71:B79" si="8">B60</f>
        <v>ΧΤ Αγροτικοί Χωρίς Ωριαίο Μετρητή</v>
      </c>
      <c r="C71" s="75">
        <f>'[1]RAE_Μετάβαση (online)'!C65</f>
        <v>0</v>
      </c>
      <c r="D71" s="76">
        <v>6.997717834155182</v>
      </c>
      <c r="E71" s="77">
        <v>6.997717834155182</v>
      </c>
      <c r="F71" s="76">
        <v>6.997717834155182</v>
      </c>
      <c r="G71" s="76">
        <v>6.997717834155182</v>
      </c>
      <c r="H71" s="76">
        <v>6.997717834155182</v>
      </c>
      <c r="I71" s="78">
        <v>6.997717834155182</v>
      </c>
    </row>
    <row r="72" spans="1:9" x14ac:dyDescent="0.2">
      <c r="A72" s="1">
        <v>2</v>
      </c>
      <c r="B72" s="45" t="str">
        <f t="shared" si="8"/>
        <v>ΧΤ Εμπορικοί χωρίς Ωριαίο Μετρητή</v>
      </c>
      <c r="C72" s="79">
        <f>'[1]RAE_Μετάβαση (online)'!C66</f>
        <v>0</v>
      </c>
      <c r="D72" s="80">
        <v>6.9977178341551811</v>
      </c>
      <c r="E72" s="81">
        <v>6.9977178341551811</v>
      </c>
      <c r="F72" s="80">
        <v>6.9977178341551811</v>
      </c>
      <c r="G72" s="80">
        <v>6.9977178341551811</v>
      </c>
      <c r="H72" s="80">
        <v>6.9977178341551811</v>
      </c>
      <c r="I72" s="82">
        <v>6.9977178341551811</v>
      </c>
    </row>
    <row r="73" spans="1:9" x14ac:dyDescent="0.2">
      <c r="A73" s="1">
        <v>3</v>
      </c>
      <c r="B73" s="45" t="str">
        <f t="shared" si="8"/>
        <v>ΧΤ Βιομηχανικοί χωρίς Ωριαίο Μετρητή</v>
      </c>
      <c r="C73" s="79">
        <f>'[1]RAE_Μετάβαση (online)'!C67</f>
        <v>0</v>
      </c>
      <c r="D73" s="80">
        <v>6.9977178341551811</v>
      </c>
      <c r="E73" s="81">
        <v>6.9977178341551811</v>
      </c>
      <c r="F73" s="80">
        <v>6.9977178341551811</v>
      </c>
      <c r="G73" s="80">
        <v>6.9977178341551811</v>
      </c>
      <c r="H73" s="80">
        <v>6.9977178341551811</v>
      </c>
      <c r="I73" s="82">
        <v>6.9977178341551811</v>
      </c>
    </row>
    <row r="74" spans="1:9" x14ac:dyDescent="0.2">
      <c r="A74" s="1">
        <v>4</v>
      </c>
      <c r="B74" s="45" t="str">
        <f t="shared" si="8"/>
        <v>ΧΤ ΦΟΠ, χωρίς Ωριαίο Μετρητή</v>
      </c>
      <c r="C74" s="79">
        <f>'[1]RAE_Μετάβαση (online)'!C68</f>
        <v>0</v>
      </c>
      <c r="D74" s="80">
        <v>6.997717834155182</v>
      </c>
      <c r="E74" s="81">
        <v>6.997717834155182</v>
      </c>
      <c r="F74" s="80">
        <v>6.997717834155182</v>
      </c>
      <c r="G74" s="80">
        <v>6.997717834155182</v>
      </c>
      <c r="H74" s="80">
        <v>6.997717834155182</v>
      </c>
      <c r="I74" s="82">
        <v>6.997717834155182</v>
      </c>
    </row>
    <row r="75" spans="1:9" x14ac:dyDescent="0.2">
      <c r="A75" s="1">
        <v>5</v>
      </c>
      <c r="B75" s="45" t="str">
        <f t="shared" si="8"/>
        <v>ΧΤ Λοιποί χωρίς Ωριαίο Μετρητή</v>
      </c>
      <c r="C75" s="79">
        <f>'[1]RAE_Μετάβαση (online)'!C69</f>
        <v>0</v>
      </c>
      <c r="D75" s="80">
        <v>6.997717834155182</v>
      </c>
      <c r="E75" s="81">
        <v>6.997717834155182</v>
      </c>
      <c r="F75" s="80">
        <v>6.997717834155182</v>
      </c>
      <c r="G75" s="80">
        <v>6.997717834155182</v>
      </c>
      <c r="H75" s="80">
        <v>6.997717834155182</v>
      </c>
      <c r="I75" s="82">
        <v>6.997717834155182</v>
      </c>
    </row>
    <row r="76" spans="1:9" x14ac:dyDescent="0.2">
      <c r="A76" s="1">
        <v>6</v>
      </c>
      <c r="B76" s="45" t="str">
        <f t="shared" si="8"/>
        <v>ΧΤ Αγροτικοί με Ωριαίο Μετρητή</v>
      </c>
      <c r="C76" s="79">
        <f>'[1]RAE_Μετάβαση (online)'!C70</f>
        <v>0</v>
      </c>
      <c r="D76" s="80">
        <v>6.997717834155182</v>
      </c>
      <c r="E76" s="81">
        <v>6.997717834155182</v>
      </c>
      <c r="F76" s="80">
        <v>6.997717834155182</v>
      </c>
      <c r="G76" s="80">
        <v>6.997717834155182</v>
      </c>
      <c r="H76" s="80">
        <v>6.997717834155182</v>
      </c>
      <c r="I76" s="82">
        <v>6.997717834155182</v>
      </c>
    </row>
    <row r="77" spans="1:9" x14ac:dyDescent="0.2">
      <c r="A77" s="1">
        <v>7</v>
      </c>
      <c r="B77" s="45" t="str">
        <f t="shared" si="8"/>
        <v>ΧΤ Λοιποί με Ωριαίο Μετρητή</v>
      </c>
      <c r="C77" s="79">
        <f>'[1]RAE_Μετάβαση (online)'!C71</f>
        <v>0</v>
      </c>
      <c r="D77" s="80">
        <v>6.997717834155182</v>
      </c>
      <c r="E77" s="81">
        <v>6.997717834155182</v>
      </c>
      <c r="F77" s="80">
        <v>6.997717834155182</v>
      </c>
      <c r="G77" s="80">
        <v>6.997717834155182</v>
      </c>
      <c r="H77" s="80">
        <v>6.997717834155182</v>
      </c>
      <c r="I77" s="82">
        <v>6.997717834155182</v>
      </c>
    </row>
    <row r="78" spans="1:9" x14ac:dyDescent="0.2">
      <c r="A78" s="1">
        <v>8</v>
      </c>
      <c r="B78" s="50" t="str">
        <f t="shared" si="8"/>
        <v>MΤ Αγροτικοί με Ωριαίο Μετρητή</v>
      </c>
      <c r="C78" s="79">
        <f>'[1]RAE_Μετάβαση (online)'!C72</f>
        <v>0</v>
      </c>
      <c r="D78" s="80">
        <v>244.61336834311186</v>
      </c>
      <c r="E78" s="81">
        <v>244.61336834311186</v>
      </c>
      <c r="F78" s="80">
        <v>244.61336834311186</v>
      </c>
      <c r="G78" s="80">
        <v>244.61336834311186</v>
      </c>
      <c r="H78" s="80">
        <v>244.61336834311186</v>
      </c>
      <c r="I78" s="82">
        <v>244.61336834311186</v>
      </c>
    </row>
    <row r="79" spans="1:9" ht="13.5" thickBot="1" x14ac:dyDescent="0.25">
      <c r="A79" s="1">
        <v>9</v>
      </c>
      <c r="B79" s="51" t="str">
        <f t="shared" si="8"/>
        <v>MΤ Λοιποί με Ωριαίο Μετρητή</v>
      </c>
      <c r="C79" s="83">
        <f>'[1]RAE_Μετάβαση (online)'!C73</f>
        <v>0</v>
      </c>
      <c r="D79" s="84">
        <v>244.61336834311189</v>
      </c>
      <c r="E79" s="85">
        <v>244.61336834311189</v>
      </c>
      <c r="F79" s="84">
        <v>244.61336834311189</v>
      </c>
      <c r="G79" s="84">
        <v>244.61336834311189</v>
      </c>
      <c r="H79" s="84">
        <v>244.61336834311189</v>
      </c>
      <c r="I79" s="86">
        <v>244.61336834311189</v>
      </c>
    </row>
    <row r="80" spans="1:9" ht="13.5" thickBot="1" x14ac:dyDescent="0.25">
      <c r="B80" s="1"/>
      <c r="C80" s="1"/>
      <c r="D80" s="110"/>
      <c r="E80" s="110"/>
      <c r="F80" s="110"/>
      <c r="G80" s="110"/>
      <c r="H80" s="110"/>
      <c r="I80" s="110"/>
    </row>
    <row r="81" spans="1:9" ht="13.5" thickBot="1" x14ac:dyDescent="0.25">
      <c r="B81" s="1"/>
      <c r="C81" s="112" t="s">
        <v>30</v>
      </c>
      <c r="D81" s="113"/>
      <c r="E81" s="113"/>
      <c r="F81" s="113"/>
      <c r="G81" s="113"/>
      <c r="H81" s="113"/>
      <c r="I81" s="114"/>
    </row>
    <row r="82" spans="1:9" x14ac:dyDescent="0.2">
      <c r="A82" s="1">
        <v>1</v>
      </c>
      <c r="B82" s="39" t="str">
        <f t="shared" ref="B82:B90" si="9">B71</f>
        <v>ΧΤ Αγροτικοί Χωρίς Ωριαίο Μετρητή</v>
      </c>
      <c r="C82" s="115">
        <f>'ΧΧΔ βάσει τρέχουσας'!M22</f>
        <v>0</v>
      </c>
      <c r="D82" s="116">
        <v>0.20141982173345413</v>
      </c>
      <c r="E82" s="117">
        <v>0</v>
      </c>
      <c r="F82" s="116">
        <v>4.2621780940276396E-2</v>
      </c>
      <c r="G82" s="116">
        <v>0</v>
      </c>
      <c r="H82" s="116">
        <v>0.4060642360790393</v>
      </c>
      <c r="I82" s="118">
        <v>0</v>
      </c>
    </row>
    <row r="83" spans="1:9" x14ac:dyDescent="0.2">
      <c r="A83" s="1">
        <v>2</v>
      </c>
      <c r="B83" s="45" t="str">
        <f t="shared" si="9"/>
        <v>ΧΤ Εμπορικοί χωρίς Ωριαίο Μετρητή</v>
      </c>
      <c r="C83" s="119">
        <f>'ΧΧΔ βάσει τρέχουσας'!M23</f>
        <v>1.7741879980485709</v>
      </c>
      <c r="D83" s="120">
        <v>0.20141982173345413</v>
      </c>
      <c r="E83" s="121">
        <v>0.21341650674426341</v>
      </c>
      <c r="F83" s="120">
        <v>4.2621780940276396E-2</v>
      </c>
      <c r="G83" s="120">
        <v>4.5154238137279118E-2</v>
      </c>
      <c r="H83" s="120">
        <v>0.4060642360790393</v>
      </c>
      <c r="I83" s="122">
        <v>0.43032117125741393</v>
      </c>
    </row>
    <row r="84" spans="1:9" x14ac:dyDescent="0.2">
      <c r="A84" s="1">
        <v>3</v>
      </c>
      <c r="B84" s="45" t="str">
        <f t="shared" si="9"/>
        <v>ΧΤ Βιομηχανικοί χωρίς Ωριαίο Μετρητή</v>
      </c>
      <c r="C84" s="119">
        <f>'ΧΧΔ βάσει τρέχουσας'!M24</f>
        <v>1.7741879980485706</v>
      </c>
      <c r="D84" s="120">
        <v>0.20141982173345419</v>
      </c>
      <c r="E84" s="121">
        <v>0.21341650674426341</v>
      </c>
      <c r="F84" s="120">
        <v>4.2621780940276403E-2</v>
      </c>
      <c r="G84" s="120">
        <v>4.5154238137279125E-2</v>
      </c>
      <c r="H84" s="120">
        <v>0.4060642360790393</v>
      </c>
      <c r="I84" s="122">
        <v>0.43032117125741393</v>
      </c>
    </row>
    <row r="85" spans="1:9" x14ac:dyDescent="0.2">
      <c r="A85" s="1">
        <v>4</v>
      </c>
      <c r="B85" s="45" t="str">
        <f t="shared" si="9"/>
        <v>ΧΤ ΦΟΠ, χωρίς Ωριαίο Μετρητή</v>
      </c>
      <c r="C85" s="119">
        <f>'ΧΧΔ βάσει τρέχουσας'!M25</f>
        <v>1.7741879980485702</v>
      </c>
      <c r="D85" s="120">
        <v>0.20141982173345413</v>
      </c>
      <c r="E85" s="121">
        <v>0.21341650674426343</v>
      </c>
      <c r="F85" s="120">
        <v>4.2621780940276396E-2</v>
      </c>
      <c r="G85" s="120">
        <v>4.5154238137279125E-2</v>
      </c>
      <c r="H85" s="120">
        <v>0.4060642360790393</v>
      </c>
      <c r="I85" s="122">
        <v>0.43032117125741404</v>
      </c>
    </row>
    <row r="86" spans="1:9" x14ac:dyDescent="0.2">
      <c r="A86" s="1">
        <v>5</v>
      </c>
      <c r="B86" s="45" t="str">
        <f t="shared" si="9"/>
        <v>ΧΤ Λοιποί χωρίς Ωριαίο Μετρητή</v>
      </c>
      <c r="C86" s="119">
        <f>'ΧΧΔ βάσει τρέχουσας'!M26</f>
        <v>1.9959614978046414</v>
      </c>
      <c r="D86" s="120">
        <v>0.20141982173345413</v>
      </c>
      <c r="E86" s="121">
        <v>0.21341650674426341</v>
      </c>
      <c r="F86" s="120">
        <v>4.2621780940276396E-2</v>
      </c>
      <c r="G86" s="120">
        <v>4.5154238137279111E-2</v>
      </c>
      <c r="H86" s="120">
        <v>0.4060642360790393</v>
      </c>
      <c r="I86" s="122">
        <v>0.43032117125741393</v>
      </c>
    </row>
    <row r="87" spans="1:9" x14ac:dyDescent="0.2">
      <c r="A87" s="1">
        <v>6</v>
      </c>
      <c r="B87" s="45" t="str">
        <f t="shared" si="9"/>
        <v>ΧΤ Αγροτικοί με Ωριαίο Μετρητή</v>
      </c>
      <c r="C87" s="119">
        <f>'ΧΧΔ βάσει τρέχουσας'!M27</f>
        <v>0</v>
      </c>
      <c r="D87" s="120">
        <v>0.18889078487442085</v>
      </c>
      <c r="E87" s="121">
        <v>0</v>
      </c>
      <c r="F87" s="120">
        <v>3.997055297372086E-2</v>
      </c>
      <c r="G87" s="120">
        <v>0</v>
      </c>
      <c r="H87" s="120">
        <v>0.38080558111060198</v>
      </c>
      <c r="I87" s="122">
        <v>0</v>
      </c>
    </row>
    <row r="88" spans="1:9" x14ac:dyDescent="0.2">
      <c r="A88" s="1">
        <v>7</v>
      </c>
      <c r="B88" s="45" t="str">
        <f t="shared" si="9"/>
        <v>ΧΤ Λοιποί με Ωριαίο Μετρητή</v>
      </c>
      <c r="C88" s="119">
        <f>'ΧΧΔ βάσει τρέχουσας'!M28</f>
        <v>1.6969061015917912</v>
      </c>
      <c r="D88" s="120">
        <v>0.1926461710128603</v>
      </c>
      <c r="E88" s="121">
        <v>0.20412029214100907</v>
      </c>
      <c r="F88" s="120">
        <v>4.0765217788539983E-2</v>
      </c>
      <c r="G88" s="120">
        <v>4.3187363623333481E-2</v>
      </c>
      <c r="H88" s="120">
        <v>0.38837647453292473</v>
      </c>
      <c r="I88" s="122">
        <v>0.41157680130515761</v>
      </c>
    </row>
    <row r="89" spans="1:9" x14ac:dyDescent="0.2">
      <c r="A89" s="1">
        <v>8</v>
      </c>
      <c r="B89" s="50" t="str">
        <f t="shared" si="9"/>
        <v>MΤ Αγροτικοί με Ωριαίο Μετρητή</v>
      </c>
      <c r="C89" s="119">
        <f>'ΧΧΔ βάσει τρέχουσας'!M29</f>
        <v>0</v>
      </c>
      <c r="D89" s="120">
        <v>7.1256682740505436E-2</v>
      </c>
      <c r="E89" s="121">
        <v>0</v>
      </c>
      <c r="F89" s="120">
        <v>1.5890665170997926E-2</v>
      </c>
      <c r="G89" s="120">
        <v>0</v>
      </c>
      <c r="H89" s="120">
        <v>0.13416588100854576</v>
      </c>
      <c r="I89" s="122">
        <v>0</v>
      </c>
    </row>
    <row r="90" spans="1:9" ht="13.5" thickBot="1" x14ac:dyDescent="0.25">
      <c r="A90" s="1">
        <v>9</v>
      </c>
      <c r="B90" s="51" t="str">
        <f t="shared" si="9"/>
        <v>MΤ Λοιποί με Ωριαίο Μετρητή</v>
      </c>
      <c r="C90" s="123">
        <f>'ΧΧΔ βάσει τρέχουσας'!M30</f>
        <v>0.29771596560727043</v>
      </c>
      <c r="D90" s="124">
        <v>7.8379425892785209E-2</v>
      </c>
      <c r="E90" s="125">
        <v>8.2775010351996817E-2</v>
      </c>
      <c r="F90" s="124">
        <v>1.7479079368499673E-2</v>
      </c>
      <c r="G90" s="124">
        <v>1.8459320914777411E-2</v>
      </c>
      <c r="H90" s="124">
        <v>0.14757696153419</v>
      </c>
      <c r="I90" s="126">
        <v>0.15585320228574517</v>
      </c>
    </row>
    <row r="91" spans="1:9" ht="13.5" thickBot="1" x14ac:dyDescent="0.25">
      <c r="B91" s="1"/>
      <c r="C91" s="1"/>
      <c r="D91" s="1"/>
      <c r="E91" s="1"/>
      <c r="F91" s="1"/>
      <c r="G91" s="1"/>
      <c r="H91" s="1"/>
      <c r="I91" s="1"/>
    </row>
    <row r="92" spans="1:9" ht="13.5" thickBot="1" x14ac:dyDescent="0.25">
      <c r="B92" s="1"/>
      <c r="C92" s="112" t="s">
        <v>31</v>
      </c>
      <c r="D92" s="113"/>
      <c r="E92" s="113"/>
      <c r="F92" s="113"/>
      <c r="G92" s="113"/>
      <c r="H92" s="113"/>
      <c r="I92" s="114"/>
    </row>
    <row r="93" spans="1:9" x14ac:dyDescent="0.2">
      <c r="A93" s="1">
        <v>1</v>
      </c>
      <c r="B93" s="39" t="str">
        <f t="shared" ref="B93:B101" si="10">B82</f>
        <v>ΧΤ Αγροτικοί Χωρίς Ωριαίο Μετρητή</v>
      </c>
      <c r="C93" s="75">
        <f>'ΧΧΔ βάσει τρέχουσας'!K22</f>
        <v>0</v>
      </c>
      <c r="D93" s="76">
        <v>0</v>
      </c>
      <c r="E93" s="77">
        <v>0</v>
      </c>
      <c r="F93" s="76">
        <v>0</v>
      </c>
      <c r="G93" s="76">
        <v>0</v>
      </c>
      <c r="H93" s="76">
        <v>0</v>
      </c>
      <c r="I93" s="78">
        <v>0</v>
      </c>
    </row>
    <row r="94" spans="1:9" x14ac:dyDescent="0.2">
      <c r="A94" s="1">
        <v>2</v>
      </c>
      <c r="B94" s="45" t="str">
        <f t="shared" si="10"/>
        <v>ΧΤ Εμπορικοί χωρίς Ωριαίο Μετρητή</v>
      </c>
      <c r="C94" s="79">
        <f>'ΧΧΔ βάσει τρέχουσας'!K23</f>
        <v>1.5568256395839073</v>
      </c>
      <c r="D94" s="80">
        <v>5.9182541957938293</v>
      </c>
      <c r="E94" s="81">
        <v>5.9182541957938293</v>
      </c>
      <c r="F94" s="80">
        <v>6.4683049053076687</v>
      </c>
      <c r="G94" s="80">
        <v>6.4683049053076687</v>
      </c>
      <c r="H94" s="80">
        <v>5.2096714802652189</v>
      </c>
      <c r="I94" s="82">
        <v>5.2096714802652189</v>
      </c>
    </row>
    <row r="95" spans="1:9" x14ac:dyDescent="0.2">
      <c r="A95" s="1">
        <v>3</v>
      </c>
      <c r="B95" s="45" t="str">
        <f t="shared" si="10"/>
        <v>ΧΤ Βιομηχανικοί χωρίς Ωριαίο Μετρητή</v>
      </c>
      <c r="C95" s="79">
        <f>'ΧΧΔ βάσει τρέχουσας'!K24</f>
        <v>1.9388499906532186</v>
      </c>
      <c r="D95" s="80">
        <v>7.9728317283741346</v>
      </c>
      <c r="E95" s="81">
        <v>7.9728317283741363</v>
      </c>
      <c r="F95" s="80">
        <v>8.7138377081685547</v>
      </c>
      <c r="G95" s="80">
        <v>8.7138377081685547</v>
      </c>
      <c r="H95" s="80">
        <v>7.0182578676300134</v>
      </c>
      <c r="I95" s="82">
        <v>7.0182578676300134</v>
      </c>
    </row>
    <row r="96" spans="1:9" x14ac:dyDescent="0.2">
      <c r="A96" s="1">
        <v>4</v>
      </c>
      <c r="B96" s="45" t="str">
        <f t="shared" si="10"/>
        <v>ΧΤ ΦΟΠ, χωρίς Ωριαίο Μετρητή</v>
      </c>
      <c r="C96" s="79">
        <f>'ΧΧΔ βάσει τρέχουσας'!K25</f>
        <v>3.1822442069842656</v>
      </c>
      <c r="D96" s="80">
        <v>11.708586453655908</v>
      </c>
      <c r="E96" s="81">
        <v>11.708586453655911</v>
      </c>
      <c r="F96" s="80">
        <v>12.79679863129687</v>
      </c>
      <c r="G96" s="80">
        <v>12.79679863129687</v>
      </c>
      <c r="H96" s="80">
        <v>10.306736903119631</v>
      </c>
      <c r="I96" s="82">
        <v>10.306736903119631</v>
      </c>
    </row>
    <row r="97" spans="1:9" x14ac:dyDescent="0.2">
      <c r="A97" s="1">
        <v>5</v>
      </c>
      <c r="B97" s="45" t="str">
        <f t="shared" si="10"/>
        <v>ΧΤ Λοιποί χωρίς Ωριαίο Μετρητή</v>
      </c>
      <c r="C97" s="79">
        <f>'ΧΧΔ βάσει τρέχουσας'!K26</f>
        <v>0.51705562033326835</v>
      </c>
      <c r="D97" s="80">
        <v>4.4894004188480041</v>
      </c>
      <c r="E97" s="81">
        <v>4.489400418848005</v>
      </c>
      <c r="F97" s="80">
        <v>4.9066514871502243</v>
      </c>
      <c r="G97" s="80">
        <v>4.9066514871502243</v>
      </c>
      <c r="H97" s="80">
        <v>3.9518919856780577</v>
      </c>
      <c r="I97" s="82">
        <v>3.9518919856780577</v>
      </c>
    </row>
    <row r="98" spans="1:9" x14ac:dyDescent="0.2">
      <c r="A98" s="1">
        <v>6</v>
      </c>
      <c r="B98" s="45" t="str">
        <f t="shared" si="10"/>
        <v>ΧΤ Αγροτικοί με Ωριαίο Μετρητή</v>
      </c>
      <c r="C98" s="79">
        <f>'ΧΧΔ βάσει τρέχουσας'!K27</f>
        <v>0</v>
      </c>
      <c r="D98" s="80">
        <v>0</v>
      </c>
      <c r="E98" s="81">
        <v>0</v>
      </c>
      <c r="F98" s="80">
        <v>0</v>
      </c>
      <c r="G98" s="80">
        <v>0</v>
      </c>
      <c r="H98" s="80">
        <v>0</v>
      </c>
      <c r="I98" s="82">
        <v>0</v>
      </c>
    </row>
    <row r="99" spans="1:9" x14ac:dyDescent="0.2">
      <c r="A99" s="1">
        <v>7</v>
      </c>
      <c r="B99" s="45" t="str">
        <f t="shared" si="10"/>
        <v>ΧΤ Λοιποί με Ωριαίο Μετρητή</v>
      </c>
      <c r="C99" s="79">
        <f>'ΧΧΔ βάσει τρέχουσας'!K28</f>
        <v>3.5065222717504647</v>
      </c>
      <c r="D99" s="80">
        <v>0</v>
      </c>
      <c r="E99" s="81">
        <v>0</v>
      </c>
      <c r="F99" s="80">
        <v>0</v>
      </c>
      <c r="G99" s="80">
        <v>0</v>
      </c>
      <c r="H99" s="80">
        <v>0</v>
      </c>
      <c r="I99" s="82">
        <v>0</v>
      </c>
    </row>
    <row r="100" spans="1:9" x14ac:dyDescent="0.2">
      <c r="A100" s="1">
        <v>8</v>
      </c>
      <c r="B100" s="50" t="str">
        <f t="shared" si="10"/>
        <v>MΤ Αγροτικοί με Ωριαίο Μετρητή</v>
      </c>
      <c r="C100" s="79">
        <f>'ΧΧΔ βάσει τρέχουσας'!K29</f>
        <v>0</v>
      </c>
      <c r="D100" s="80">
        <v>0</v>
      </c>
      <c r="E100" s="81">
        <v>0</v>
      </c>
      <c r="F100" s="80">
        <v>0</v>
      </c>
      <c r="G100" s="80">
        <v>0</v>
      </c>
      <c r="H100" s="80">
        <v>0</v>
      </c>
      <c r="I100" s="82">
        <v>0</v>
      </c>
    </row>
    <row r="101" spans="1:9" ht="13.5" thickBot="1" x14ac:dyDescent="0.25">
      <c r="A101" s="1">
        <v>9</v>
      </c>
      <c r="B101" s="51" t="str">
        <f t="shared" si="10"/>
        <v>MΤ Λοιποί με Ωριαίο Μετρητή</v>
      </c>
      <c r="C101" s="83">
        <f>'ΧΧΔ βάσει τρέχουσας'!K30</f>
        <v>0</v>
      </c>
      <c r="D101" s="84">
        <v>0</v>
      </c>
      <c r="E101" s="85">
        <v>0</v>
      </c>
      <c r="F101" s="84">
        <v>0</v>
      </c>
      <c r="G101" s="84">
        <v>0</v>
      </c>
      <c r="H101" s="84">
        <v>0</v>
      </c>
      <c r="I101" s="86">
        <v>0</v>
      </c>
    </row>
    <row r="102" spans="1:9" ht="13.5" thickBot="1" x14ac:dyDescent="0.25">
      <c r="B102" s="1"/>
      <c r="C102" s="1"/>
      <c r="D102" s="1"/>
      <c r="E102" s="1"/>
      <c r="F102" s="1"/>
      <c r="G102" s="1"/>
      <c r="H102" s="1"/>
      <c r="I102" s="1"/>
    </row>
    <row r="103" spans="1:9" ht="15" thickBot="1" x14ac:dyDescent="0.25">
      <c r="B103" s="1"/>
      <c r="C103" s="112" t="s">
        <v>32</v>
      </c>
      <c r="D103" s="113"/>
      <c r="E103" s="113"/>
      <c r="F103" s="113"/>
      <c r="G103" s="113"/>
      <c r="H103" s="113"/>
      <c r="I103" s="114"/>
    </row>
    <row r="104" spans="1:9" x14ac:dyDescent="0.2">
      <c r="A104" s="1">
        <v>1</v>
      </c>
      <c r="B104" s="39" t="str">
        <f t="shared" ref="B104:B112" si="11">B93</f>
        <v>ΧΤ Αγροτικοί Χωρίς Ωριαίο Μετρητή</v>
      </c>
      <c r="C104" s="75"/>
      <c r="D104" s="76"/>
      <c r="E104" s="77"/>
      <c r="F104" s="76"/>
      <c r="G104" s="76"/>
      <c r="H104" s="76"/>
      <c r="I104" s="78"/>
    </row>
    <row r="105" spans="1:9" x14ac:dyDescent="0.2">
      <c r="A105" s="1">
        <v>2</v>
      </c>
      <c r="B105" s="45" t="str">
        <f t="shared" si="11"/>
        <v>ΧΤ Εμπορικοί χωρίς Ωριαίο Μετρητή</v>
      </c>
      <c r="C105" s="79"/>
      <c r="D105" s="80"/>
      <c r="E105" s="81"/>
      <c r="F105" s="80"/>
      <c r="G105" s="80"/>
      <c r="H105" s="80"/>
      <c r="I105" s="82"/>
    </row>
    <row r="106" spans="1:9" x14ac:dyDescent="0.2">
      <c r="A106" s="1">
        <v>3</v>
      </c>
      <c r="B106" s="45" t="str">
        <f t="shared" si="11"/>
        <v>ΧΤ Βιομηχανικοί χωρίς Ωριαίο Μετρητή</v>
      </c>
      <c r="C106" s="79"/>
      <c r="D106" s="80"/>
      <c r="E106" s="81"/>
      <c r="F106" s="80"/>
      <c r="G106" s="80"/>
      <c r="H106" s="80"/>
      <c r="I106" s="82"/>
    </row>
    <row r="107" spans="1:9" x14ac:dyDescent="0.2">
      <c r="A107" s="1">
        <v>4</v>
      </c>
      <c r="B107" s="45" t="str">
        <f t="shared" si="11"/>
        <v>ΧΤ ΦΟΠ, χωρίς Ωριαίο Μετρητή</v>
      </c>
      <c r="C107" s="79"/>
      <c r="D107" s="80"/>
      <c r="E107" s="81"/>
      <c r="F107" s="80"/>
      <c r="G107" s="80"/>
      <c r="H107" s="80"/>
      <c r="I107" s="82"/>
    </row>
    <row r="108" spans="1:9" x14ac:dyDescent="0.2">
      <c r="A108" s="1">
        <v>5</v>
      </c>
      <c r="B108" s="45" t="str">
        <f t="shared" si="11"/>
        <v>ΧΤ Λοιποί χωρίς Ωριαίο Μετρητή</v>
      </c>
      <c r="C108" s="79"/>
      <c r="D108" s="80"/>
      <c r="E108" s="81"/>
      <c r="F108" s="80"/>
      <c r="G108" s="80"/>
      <c r="H108" s="80"/>
      <c r="I108" s="82"/>
    </row>
    <row r="109" spans="1:9" x14ac:dyDescent="0.2">
      <c r="A109" s="1">
        <v>6</v>
      </c>
      <c r="B109" s="45" t="str">
        <f t="shared" si="11"/>
        <v>ΧΤ Αγροτικοί με Ωριαίο Μετρητή</v>
      </c>
      <c r="C109" s="79">
        <f>[1]RR_Current_Allocation!L76</f>
        <v>0</v>
      </c>
      <c r="D109" s="80">
        <v>0</v>
      </c>
      <c r="E109" s="81">
        <v>0</v>
      </c>
      <c r="F109" s="80">
        <v>0</v>
      </c>
      <c r="G109" s="80">
        <v>0</v>
      </c>
      <c r="H109" s="80">
        <v>0</v>
      </c>
      <c r="I109" s="82">
        <v>0</v>
      </c>
    </row>
    <row r="110" spans="1:9" x14ac:dyDescent="0.2">
      <c r="A110" s="1">
        <v>7</v>
      </c>
      <c r="B110" s="45" t="str">
        <f t="shared" si="11"/>
        <v>ΧΤ Λοιποί με Ωριαίο Μετρητή</v>
      </c>
      <c r="C110" s="79">
        <f>[1]RR_Current_Allocation!L77</f>
        <v>0</v>
      </c>
      <c r="D110" s="80">
        <v>138.95628777791265</v>
      </c>
      <c r="E110" s="81">
        <v>138.95628777791265</v>
      </c>
      <c r="F110" s="80">
        <v>151.87107686182387</v>
      </c>
      <c r="G110" s="80">
        <v>151.87107686182387</v>
      </c>
      <c r="H110" s="80">
        <v>122.31928293222241</v>
      </c>
      <c r="I110" s="82">
        <v>122.31928293222241</v>
      </c>
    </row>
    <row r="111" spans="1:9" x14ac:dyDescent="0.2">
      <c r="A111" s="1">
        <v>8</v>
      </c>
      <c r="B111" s="50" t="str">
        <f t="shared" si="11"/>
        <v>MΤ Αγροτικοί με Ωριαίο Μετρητή</v>
      </c>
      <c r="C111" s="79">
        <f>[1]RR_Current_Allocation!L78</f>
        <v>0</v>
      </c>
      <c r="D111" s="80">
        <v>0</v>
      </c>
      <c r="E111" s="81">
        <v>0</v>
      </c>
      <c r="F111" s="80">
        <v>0</v>
      </c>
      <c r="G111" s="80">
        <v>0</v>
      </c>
      <c r="H111" s="80">
        <v>0</v>
      </c>
      <c r="I111" s="82">
        <v>0</v>
      </c>
    </row>
    <row r="112" spans="1:9" ht="13.5" thickBot="1" x14ac:dyDescent="0.25">
      <c r="A112" s="1">
        <v>9</v>
      </c>
      <c r="B112" s="51" t="str">
        <f t="shared" si="11"/>
        <v>MΤ Λοιποί με Ωριαίο Μετρητή</v>
      </c>
      <c r="C112" s="83">
        <f>'ΧΧΔ βάσει τρέχουσας'!L30</f>
        <v>1.1691369131095299</v>
      </c>
      <c r="D112" s="84">
        <v>43.458897019007779</v>
      </c>
      <c r="E112" s="85">
        <v>43.458897019007786</v>
      </c>
      <c r="F112" s="84">
        <v>48.604565721912245</v>
      </c>
      <c r="G112" s="84">
        <v>48.604565721912245</v>
      </c>
      <c r="H112" s="84">
        <v>37.612171773756479</v>
      </c>
      <c r="I112" s="86">
        <v>37.612171773756479</v>
      </c>
    </row>
    <row r="113" spans="2:9" x14ac:dyDescent="0.2">
      <c r="B113" s="1"/>
      <c r="C113" s="1"/>
      <c r="D113" s="1"/>
      <c r="E113" s="1"/>
      <c r="F113" s="1"/>
      <c r="G113" s="1"/>
      <c r="H113" s="1"/>
      <c r="I113" s="1"/>
    </row>
    <row r="114" spans="2:9" ht="27" customHeight="1" x14ac:dyDescent="0.2">
      <c r="B114" s="127" t="s">
        <v>33</v>
      </c>
      <c r="C114" s="127"/>
      <c r="D114" s="127"/>
      <c r="E114" s="127"/>
      <c r="F114" s="127"/>
      <c r="G114" s="127"/>
      <c r="H114" s="127"/>
      <c r="I114" s="127"/>
    </row>
  </sheetData>
  <mergeCells count="12">
    <mergeCell ref="C59:I59"/>
    <mergeCell ref="C70:I70"/>
    <mergeCell ref="C81:I81"/>
    <mergeCell ref="C92:I92"/>
    <mergeCell ref="C103:I103"/>
    <mergeCell ref="B114:I114"/>
    <mergeCell ref="D1:I1"/>
    <mergeCell ref="C9:I9"/>
    <mergeCell ref="C20:I20"/>
    <mergeCell ref="C26:I26"/>
    <mergeCell ref="C37:I37"/>
    <mergeCell ref="C48:I4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A8AA-623F-4D0A-82AB-059CBBFEED1A}">
  <sheetPr>
    <tabColor theme="4" tint="0.59999389629810485"/>
  </sheetPr>
  <dimension ref="A1:K125"/>
  <sheetViews>
    <sheetView showZeros="0" zoomScale="85" zoomScaleNormal="85" workbookViewId="0"/>
  </sheetViews>
  <sheetFormatPr defaultRowHeight="12.75" x14ac:dyDescent="0.2"/>
  <cols>
    <col min="1" max="1" width="4.28515625" style="1" customWidth="1"/>
    <col min="2" max="2" width="39" customWidth="1"/>
    <col min="3" max="3" width="13.7109375" customWidth="1"/>
    <col min="4" max="6" width="15" customWidth="1"/>
  </cols>
  <sheetData>
    <row r="1" spans="1:6" ht="15.75" customHeight="1" thickBot="1" x14ac:dyDescent="0.25">
      <c r="B1" s="58" t="s">
        <v>112</v>
      </c>
      <c r="C1" s="59"/>
      <c r="D1" s="59"/>
      <c r="E1" s="59"/>
      <c r="F1" s="60"/>
    </row>
    <row r="2" spans="1:6" ht="93.75" customHeight="1" thickBot="1" x14ac:dyDescent="0.25">
      <c r="B2" s="4" t="s">
        <v>1</v>
      </c>
      <c r="C2" s="275" t="s">
        <v>113</v>
      </c>
      <c r="D2" s="276" t="s">
        <v>114</v>
      </c>
      <c r="E2" s="277" t="s">
        <v>115</v>
      </c>
      <c r="F2" s="278" t="s">
        <v>116</v>
      </c>
    </row>
    <row r="3" spans="1:6" ht="49.15" customHeight="1" x14ac:dyDescent="0.2">
      <c r="B3" s="279" t="s">
        <v>9</v>
      </c>
      <c r="C3" s="280" t="s">
        <v>10</v>
      </c>
      <c r="D3" s="281" t="s">
        <v>12</v>
      </c>
      <c r="E3" s="282" t="s">
        <v>12</v>
      </c>
      <c r="F3" s="283" t="s">
        <v>12</v>
      </c>
    </row>
    <row r="4" spans="1:6" x14ac:dyDescent="0.2">
      <c r="B4" s="284" t="s">
        <v>13</v>
      </c>
      <c r="C4" s="285">
        <f>C24</f>
        <v>0.82399999999999995</v>
      </c>
      <c r="D4" s="286">
        <v>0.10000000000000005</v>
      </c>
      <c r="E4" s="287">
        <v>0.10000000000000005</v>
      </c>
      <c r="F4" s="288">
        <v>0.10000000000000005</v>
      </c>
    </row>
    <row r="5" spans="1:6" x14ac:dyDescent="0.2">
      <c r="B5" s="284" t="s">
        <v>14</v>
      </c>
      <c r="C5" s="289">
        <v>1</v>
      </c>
      <c r="D5" s="286">
        <v>1</v>
      </c>
      <c r="E5" s="287">
        <v>1</v>
      </c>
      <c r="F5" s="288">
        <v>1</v>
      </c>
    </row>
    <row r="6" spans="1:6" x14ac:dyDescent="0.2">
      <c r="B6" s="284" t="s">
        <v>15</v>
      </c>
      <c r="C6" s="289">
        <v>1</v>
      </c>
      <c r="D6" s="286">
        <v>1</v>
      </c>
      <c r="E6" s="287">
        <v>1</v>
      </c>
      <c r="F6" s="288">
        <v>1</v>
      </c>
    </row>
    <row r="7" spans="1:6" ht="13.5" thickBot="1" x14ac:dyDescent="0.25">
      <c r="B7" s="290" t="s">
        <v>117</v>
      </c>
      <c r="C7" s="291" t="s">
        <v>118</v>
      </c>
      <c r="D7" s="292" t="s">
        <v>18</v>
      </c>
      <c r="E7" s="293" t="s">
        <v>18</v>
      </c>
      <c r="F7" s="294" t="s">
        <v>18</v>
      </c>
    </row>
    <row r="8" spans="1:6" ht="13.5" thickBot="1" x14ac:dyDescent="0.25">
      <c r="B8" s="1"/>
      <c r="C8" s="35"/>
      <c r="D8" s="3"/>
      <c r="E8" s="3"/>
      <c r="F8" s="3"/>
    </row>
    <row r="9" spans="1:6" ht="13.5" thickBot="1" x14ac:dyDescent="0.25">
      <c r="B9" s="1"/>
      <c r="C9" s="36" t="s">
        <v>119</v>
      </c>
      <c r="D9" s="37"/>
      <c r="E9" s="37"/>
      <c r="F9" s="38"/>
    </row>
    <row r="10" spans="1:6" x14ac:dyDescent="0.2">
      <c r="A10" s="1">
        <v>1</v>
      </c>
      <c r="B10" s="295" t="str">
        <f>[1]Results_Main!B19</f>
        <v>ΧΤ Αγροτικοί Χωρίς Ωριαίο Μετρητή</v>
      </c>
      <c r="C10" s="296">
        <f>[1]RR_Current_Allocation!K90</f>
        <v>0</v>
      </c>
      <c r="D10" s="297">
        <v>1318279.0696229923</v>
      </c>
      <c r="E10" s="298">
        <v>1318279.0696229923</v>
      </c>
      <c r="F10" s="299">
        <v>1318279.0696229923</v>
      </c>
    </row>
    <row r="11" spans="1:6" x14ac:dyDescent="0.2">
      <c r="A11" s="1">
        <v>2</v>
      </c>
      <c r="B11" s="300" t="str">
        <f>[1]Results_Main!B20</f>
        <v>ΧΤ Εμπορικοί χωρίς Ωριαίο Μετρητή</v>
      </c>
      <c r="C11" s="301">
        <f>[1]RR_Current_Allocation!K91</f>
        <v>182520595.88231871</v>
      </c>
      <c r="D11" s="302">
        <v>157411984.9971675</v>
      </c>
      <c r="E11" s="303">
        <v>157411984.9971675</v>
      </c>
      <c r="F11" s="304">
        <v>158245102.75862414</v>
      </c>
    </row>
    <row r="12" spans="1:6" x14ac:dyDescent="0.2">
      <c r="A12" s="1">
        <v>3</v>
      </c>
      <c r="B12" s="300" t="str">
        <f>[1]Results_Main!B21</f>
        <v>ΧΤ Βιομηχανικοί χωρίς Ωριαίο Μετρητή</v>
      </c>
      <c r="C12" s="301">
        <f>[1]RR_Current_Allocation!K92</f>
        <v>9872253.9273103792</v>
      </c>
      <c r="D12" s="302">
        <v>9739269.8799323961</v>
      </c>
      <c r="E12" s="303">
        <v>9739269.8799323961</v>
      </c>
      <c r="F12" s="304">
        <v>9743729.3086860254</v>
      </c>
    </row>
    <row r="13" spans="1:6" x14ac:dyDescent="0.2">
      <c r="A13" s="1">
        <v>4</v>
      </c>
      <c r="B13" s="300" t="str">
        <f>[1]Results_Main!B22</f>
        <v>ΧΤ ΦΟΠ, χωρίς Ωριαίο Μετρητή</v>
      </c>
      <c r="C13" s="301">
        <f>[1]RR_Current_Allocation!K93</f>
        <v>19000337.909505211</v>
      </c>
      <c r="D13" s="302">
        <v>15466739.132782442</v>
      </c>
      <c r="E13" s="303">
        <v>15466739.132782442</v>
      </c>
      <c r="F13" s="304">
        <v>15125731.675645541</v>
      </c>
    </row>
    <row r="14" spans="1:6" x14ac:dyDescent="0.2">
      <c r="A14" s="1">
        <v>5</v>
      </c>
      <c r="B14" s="300" t="str">
        <f>[1]Results_Main!B23</f>
        <v>ΧΤ Λοιποί χωρίς Ωριαίο Μετρητή</v>
      </c>
      <c r="C14" s="301">
        <f>[1]RR_Current_Allocation!K94</f>
        <v>376018115.85060334</v>
      </c>
      <c r="D14" s="302">
        <v>417399516.84820116</v>
      </c>
      <c r="E14" s="303">
        <v>417399516.84820116</v>
      </c>
      <c r="F14" s="304">
        <v>416564406.53255838</v>
      </c>
    </row>
    <row r="15" spans="1:6" x14ac:dyDescent="0.2">
      <c r="A15" s="1">
        <v>6</v>
      </c>
      <c r="B15" s="300" t="str">
        <f>[1]Results_Main!B24</f>
        <v>ΧΤ Αγροτικοί με Ωριαίο Μετρητή</v>
      </c>
      <c r="C15" s="301">
        <f>[1]RR_Current_Allocation!K95</f>
        <v>0</v>
      </c>
      <c r="D15" s="302">
        <v>127302.48283895107</v>
      </c>
      <c r="E15" s="303">
        <v>127302.48283895107</v>
      </c>
      <c r="F15" s="305">
        <v>127302.48283895107</v>
      </c>
    </row>
    <row r="16" spans="1:6" x14ac:dyDescent="0.2">
      <c r="A16" s="1">
        <v>7</v>
      </c>
      <c r="B16" s="300" t="str">
        <f>[1]Results_Main!B25</f>
        <v>ΧΤ Λοιποί με Ωριαίο Μετρητή</v>
      </c>
      <c r="C16" s="301">
        <f>[1]RR_Current_Allocation!K96</f>
        <v>89041392.759803534</v>
      </c>
      <c r="D16" s="302">
        <v>71255934.838238984</v>
      </c>
      <c r="E16" s="303">
        <v>71255934.838238984</v>
      </c>
      <c r="F16" s="304">
        <v>71561905.666174039</v>
      </c>
    </row>
    <row r="17" spans="1:6" ht="13.5" customHeight="1" x14ac:dyDescent="0.2">
      <c r="A17" s="1">
        <v>8</v>
      </c>
      <c r="B17" s="306" t="str">
        <f>[1]Results_Main!B26</f>
        <v>MΤ Αγροτικοί με Ωριαίο Μετρητή</v>
      </c>
      <c r="C17" s="301">
        <f>[1]RR_Current_Allocation!K97</f>
        <v>0</v>
      </c>
      <c r="D17" s="302">
        <v>130134.31195853552</v>
      </c>
      <c r="E17" s="303">
        <v>130134.31195853552</v>
      </c>
      <c r="F17" s="305">
        <v>130134.31195853552</v>
      </c>
    </row>
    <row r="18" spans="1:6" ht="13.5" thickBot="1" x14ac:dyDescent="0.25">
      <c r="A18" s="1">
        <v>9</v>
      </c>
      <c r="B18" s="307" t="str">
        <f>[1]Results_Main!B27</f>
        <v>MΤ Λοιποί με Ωριαίο Μετρητή</v>
      </c>
      <c r="C18" s="308">
        <f>[1]RR_Current_Allocation!K98</f>
        <v>65332121.290458769</v>
      </c>
      <c r="D18" s="309">
        <v>68935656.059256941</v>
      </c>
      <c r="E18" s="310">
        <v>68935656.059256941</v>
      </c>
      <c r="F18" s="311">
        <v>68968225.813891217</v>
      </c>
    </row>
    <row r="19" spans="1:6" ht="13.5" thickBot="1" x14ac:dyDescent="0.25">
      <c r="B19" s="56"/>
      <c r="C19" s="56"/>
      <c r="D19" s="56"/>
      <c r="E19" s="56"/>
      <c r="F19" s="56"/>
    </row>
    <row r="20" spans="1:6" ht="13.5" thickBot="1" x14ac:dyDescent="0.25">
      <c r="B20" s="1"/>
      <c r="C20" s="58" t="s">
        <v>20</v>
      </c>
      <c r="D20" s="59"/>
      <c r="E20" s="59"/>
      <c r="F20" s="60"/>
    </row>
    <row r="21" spans="1:6" x14ac:dyDescent="0.2">
      <c r="B21" s="295" t="s">
        <v>21</v>
      </c>
      <c r="C21" s="312">
        <v>0</v>
      </c>
      <c r="D21" s="313">
        <v>7.4296708965850999E-2</v>
      </c>
      <c r="E21" s="313">
        <v>7.4296708965850999E-2</v>
      </c>
      <c r="F21" s="314">
        <v>7.4296708965850999E-2</v>
      </c>
    </row>
    <row r="22" spans="1:6" x14ac:dyDescent="0.2">
      <c r="B22" s="300" t="s">
        <v>22</v>
      </c>
      <c r="C22" s="315">
        <v>0.13157678514343138</v>
      </c>
      <c r="D22" s="316">
        <v>0.66396904344422791</v>
      </c>
      <c r="E22" s="317">
        <v>0.76909630437767651</v>
      </c>
      <c r="F22" s="318">
        <v>0.7689365690998915</v>
      </c>
    </row>
    <row r="23" spans="1:6" x14ac:dyDescent="0.2">
      <c r="B23" s="300" t="s">
        <v>23</v>
      </c>
      <c r="C23" s="315">
        <v>4.4027214759034566E-2</v>
      </c>
      <c r="D23" s="316">
        <v>0.16173424758992108</v>
      </c>
      <c r="E23" s="317">
        <v>5.6606986656472368E-2</v>
      </c>
      <c r="F23" s="318">
        <v>5.6766721934257434E-2</v>
      </c>
    </row>
    <row r="24" spans="1:6" ht="13.5" thickBot="1" x14ac:dyDescent="0.25">
      <c r="B24" s="319" t="s">
        <v>24</v>
      </c>
      <c r="C24" s="320">
        <v>0.82399999999999995</v>
      </c>
      <c r="D24" s="321">
        <v>0.10000000000000005</v>
      </c>
      <c r="E24" s="321">
        <v>0.10000000000000005</v>
      </c>
      <c r="F24" s="322">
        <v>0.10000000000000005</v>
      </c>
    </row>
    <row r="25" spans="1:6" ht="13.5" thickBot="1" x14ac:dyDescent="0.25">
      <c r="B25" s="1"/>
      <c r="C25" s="1"/>
      <c r="D25" s="1"/>
      <c r="E25" s="1"/>
      <c r="F25" s="1"/>
    </row>
    <row r="26" spans="1:6" ht="13.5" thickBot="1" x14ac:dyDescent="0.25">
      <c r="B26" s="1"/>
      <c r="C26" s="58" t="s">
        <v>25</v>
      </c>
      <c r="D26" s="59"/>
      <c r="E26" s="59"/>
      <c r="F26" s="60"/>
    </row>
    <row r="27" spans="1:6" x14ac:dyDescent="0.2">
      <c r="A27" s="1">
        <v>1</v>
      </c>
      <c r="B27" s="295" t="str">
        <f t="shared" ref="B27:B35" si="0">B10</f>
        <v>ΧΤ Αγροτικοί Χωρίς Ωριαίο Μετρητή</v>
      </c>
      <c r="C27" s="323">
        <f>[1]RR_Current_Allocation!N90</f>
        <v>0</v>
      </c>
      <c r="D27" s="324">
        <v>1.2153208834686131</v>
      </c>
      <c r="E27" s="324">
        <v>1.2153208834686131</v>
      </c>
      <c r="F27" s="325">
        <v>1.2153208834686131</v>
      </c>
    </row>
    <row r="28" spans="1:6" ht="13.5" customHeight="1" x14ac:dyDescent="0.2">
      <c r="A28" s="1">
        <v>2</v>
      </c>
      <c r="B28" s="300" t="str">
        <f t="shared" si="0"/>
        <v>ΧΤ Εμπορικοί χωρίς Ωριαίο Μετρητή</v>
      </c>
      <c r="C28" s="326">
        <f>[1]RR_Current_Allocation!N91</f>
        <v>23.359553508548991</v>
      </c>
      <c r="D28" s="327">
        <v>20.146075398521386</v>
      </c>
      <c r="E28" s="327">
        <v>20.146075398521386</v>
      </c>
      <c r="F28" s="328">
        <v>20.252700400667539</v>
      </c>
    </row>
    <row r="29" spans="1:6" x14ac:dyDescent="0.2">
      <c r="A29" s="1">
        <v>3</v>
      </c>
      <c r="B29" s="300" t="str">
        <f t="shared" si="0"/>
        <v>ΧΤ Βιομηχανικοί χωρίς Ωριαίο Μετρητή</v>
      </c>
      <c r="C29" s="326">
        <f>[1]RR_Current_Allocation!N92</f>
        <v>21.35504929512927</v>
      </c>
      <c r="D29" s="327">
        <v>21.067386426230968</v>
      </c>
      <c r="E29" s="327">
        <v>21.067386426230968</v>
      </c>
      <c r="F29" s="328">
        <v>21.077032786784802</v>
      </c>
    </row>
    <row r="30" spans="1:6" x14ac:dyDescent="0.2">
      <c r="A30" s="1">
        <v>4</v>
      </c>
      <c r="B30" s="300" t="str">
        <f t="shared" si="0"/>
        <v>ΧΤ ΦΟΠ, χωρίς Ωριαίο Μετρητή</v>
      </c>
      <c r="C30" s="326">
        <f>[1]RR_Current_Allocation!N93</f>
        <v>23.697813389268671</v>
      </c>
      <c r="D30" s="327">
        <v>19.290598906970821</v>
      </c>
      <c r="E30" s="327">
        <v>19.290598906970821</v>
      </c>
      <c r="F30" s="328">
        <v>18.865283782467873</v>
      </c>
    </row>
    <row r="31" spans="1:6" x14ac:dyDescent="0.2">
      <c r="A31" s="1">
        <v>5</v>
      </c>
      <c r="B31" s="300" t="str">
        <f t="shared" si="0"/>
        <v>ΧΤ Λοιποί χωρίς Ωριαίο Μετρητή</v>
      </c>
      <c r="C31" s="326">
        <f>[1]RR_Current_Allocation!N94</f>
        <v>21.342171287931528</v>
      </c>
      <c r="D31" s="327">
        <v>23.6909117102579</v>
      </c>
      <c r="E31" s="327">
        <v>23.6909117102579</v>
      </c>
      <c r="F31" s="328">
        <v>23.64351221898486</v>
      </c>
    </row>
    <row r="32" spans="1:6" x14ac:dyDescent="0.2">
      <c r="A32" s="1">
        <v>6</v>
      </c>
      <c r="B32" s="300" t="str">
        <f t="shared" si="0"/>
        <v>ΧΤ Αγροτικοί με Ωριαίο Μετρητή</v>
      </c>
      <c r="C32" s="326">
        <f>[1]RR_Current_Allocation!N95</f>
        <v>0</v>
      </c>
      <c r="D32" s="327">
        <v>0.15652188310786574</v>
      </c>
      <c r="E32" s="327">
        <v>0.15652188310786574</v>
      </c>
      <c r="F32" s="329">
        <v>0.15652188310786574</v>
      </c>
    </row>
    <row r="33" spans="1:6" x14ac:dyDescent="0.2">
      <c r="A33" s="1">
        <v>7</v>
      </c>
      <c r="B33" s="300" t="str">
        <f t="shared" si="0"/>
        <v>ΧΤ Λοιποί με Ωριαίο Μετρητή</v>
      </c>
      <c r="C33" s="326">
        <f>[1]RR_Current_Allocation!N96</f>
        <v>23.39614971729474</v>
      </c>
      <c r="D33" s="327">
        <v>18.722916028710554</v>
      </c>
      <c r="E33" s="327">
        <v>18.722916028710554</v>
      </c>
      <c r="F33" s="328">
        <v>18.803311663567747</v>
      </c>
    </row>
    <row r="34" spans="1:6" x14ac:dyDescent="0.2">
      <c r="A34" s="1">
        <v>8</v>
      </c>
      <c r="B34" s="306" t="str">
        <f t="shared" si="0"/>
        <v>MΤ Αγροτικοί με Ωριαίο Μετρητή</v>
      </c>
      <c r="C34" s="326">
        <f>[1]RR_Current_Allocation!N97</f>
        <v>0</v>
      </c>
      <c r="D34" s="327">
        <v>0.33127442638947618</v>
      </c>
      <c r="E34" s="327">
        <v>0.33127442638947618</v>
      </c>
      <c r="F34" s="329">
        <v>0.33127442638947618</v>
      </c>
    </row>
    <row r="35" spans="1:6" ht="13.5" thickBot="1" x14ac:dyDescent="0.25">
      <c r="A35" s="1">
        <v>9</v>
      </c>
      <c r="B35" s="307" t="str">
        <f t="shared" si="0"/>
        <v>MΤ Λοιποί με Ωριαίο Μετρητή</v>
      </c>
      <c r="C35" s="330">
        <f>[1]RR_Current_Allocation!N98</f>
        <v>6.1592410777092264</v>
      </c>
      <c r="D35" s="331">
        <v>6.4989673706036299</v>
      </c>
      <c r="E35" s="331">
        <v>6.4989673706036299</v>
      </c>
      <c r="F35" s="332">
        <v>6.5020379118117209</v>
      </c>
    </row>
    <row r="36" spans="1:6" ht="13.5" thickBot="1" x14ac:dyDescent="0.25">
      <c r="B36" s="1"/>
      <c r="C36" s="1"/>
      <c r="D36" s="1"/>
      <c r="E36" s="1"/>
      <c r="F36" s="1"/>
    </row>
    <row r="37" spans="1:6" ht="13.5" thickBot="1" x14ac:dyDescent="0.25">
      <c r="B37" s="87"/>
      <c r="C37" s="58" t="s">
        <v>26</v>
      </c>
      <c r="D37" s="59"/>
      <c r="E37" s="59"/>
      <c r="F37" s="60"/>
    </row>
    <row r="38" spans="1:6" x14ac:dyDescent="0.2">
      <c r="A38" s="1">
        <v>1</v>
      </c>
      <c r="B38" s="295" t="str">
        <f t="shared" ref="B38:B46" si="1">B27</f>
        <v>ΧΤ Αγροτικοί Χωρίς Ωριαίο Μετρητή</v>
      </c>
      <c r="C38" s="323">
        <f>[1]RR_Current_Allocation!O90</f>
        <v>0</v>
      </c>
      <c r="D38" s="324">
        <v>6.997717834155182</v>
      </c>
      <c r="E38" s="324">
        <v>6.997717834155182</v>
      </c>
      <c r="F38" s="325">
        <v>6.997717834155182</v>
      </c>
    </row>
    <row r="39" spans="1:6" ht="13.5" customHeight="1" x14ac:dyDescent="0.2">
      <c r="A39" s="1">
        <v>2</v>
      </c>
      <c r="B39" s="300" t="str">
        <f t="shared" si="1"/>
        <v>ΧΤ Εμπορικοί χωρίς Ωριαίο Μετρητή</v>
      </c>
      <c r="C39" s="326">
        <f>[1]RR_Current_Allocation!O91</f>
        <v>142.0775195537469</v>
      </c>
      <c r="D39" s="327">
        <v>122.53249704953275</v>
      </c>
      <c r="E39" s="327">
        <v>122.53249704953275</v>
      </c>
      <c r="F39" s="328">
        <v>123.18101183479155</v>
      </c>
    </row>
    <row r="40" spans="1:6" x14ac:dyDescent="0.2">
      <c r="A40" s="1">
        <v>3</v>
      </c>
      <c r="B40" s="300" t="str">
        <f t="shared" si="1"/>
        <v>ΧΤ Βιομηχανικοί χωρίς Ωριαίο Μετρητή</v>
      </c>
      <c r="C40" s="326">
        <f>[1]RR_Current_Allocation!O92</f>
        <v>215.34921203477913</v>
      </c>
      <c r="D40" s="327">
        <v>212.44835372755702</v>
      </c>
      <c r="E40" s="327">
        <v>212.44835372755702</v>
      </c>
      <c r="F40" s="328">
        <v>212.5456298384928</v>
      </c>
    </row>
    <row r="41" spans="1:6" x14ac:dyDescent="0.2">
      <c r="A41" s="1">
        <v>4</v>
      </c>
      <c r="B41" s="300" t="str">
        <f t="shared" si="1"/>
        <v>ΧΤ ΦΟΠ, χωρίς Ωριαίο Μετρητή</v>
      </c>
      <c r="C41" s="326">
        <f>[1]RR_Current_Allocation!O93</f>
        <v>198.17409711928002</v>
      </c>
      <c r="D41" s="327">
        <v>161.31855536554588</v>
      </c>
      <c r="E41" s="327">
        <v>161.31855536554588</v>
      </c>
      <c r="F41" s="328">
        <v>157.76183730869283</v>
      </c>
    </row>
    <row r="42" spans="1:6" x14ac:dyDescent="0.2">
      <c r="A42" s="1">
        <v>5</v>
      </c>
      <c r="B42" s="300" t="str">
        <f t="shared" si="1"/>
        <v>ΧΤ Λοιποί χωρίς Ωριαίο Μετρητή</v>
      </c>
      <c r="C42" s="326">
        <f>[1]RR_Current_Allocation!O94</f>
        <v>64.90549642814355</v>
      </c>
      <c r="D42" s="327">
        <v>72.048451146070747</v>
      </c>
      <c r="E42" s="327">
        <v>72.048451146070747</v>
      </c>
      <c r="F42" s="328">
        <v>71.904300512566181</v>
      </c>
    </row>
    <row r="43" spans="1:6" x14ac:dyDescent="0.2">
      <c r="A43" s="1">
        <v>6</v>
      </c>
      <c r="B43" s="300" t="str">
        <f t="shared" si="1"/>
        <v>ΧΤ Αγροτικοί με Ωριαίο Μετρητή</v>
      </c>
      <c r="C43" s="326">
        <f>[1]RR_Current_Allocation!O95</f>
        <v>0</v>
      </c>
      <c r="D43" s="327">
        <v>6.997717834155182</v>
      </c>
      <c r="E43" s="327">
        <v>6.997717834155182</v>
      </c>
      <c r="F43" s="329">
        <v>6.997717834155182</v>
      </c>
    </row>
    <row r="44" spans="1:6" x14ac:dyDescent="0.2">
      <c r="A44" s="1">
        <v>7</v>
      </c>
      <c r="B44" s="300" t="str">
        <f t="shared" si="1"/>
        <v>ΧΤ Λοιποί με Ωριαίο Μετρητή</v>
      </c>
      <c r="C44" s="326">
        <f>[1]RR_Current_Allocation!O96</f>
        <v>2299.0883513595377</v>
      </c>
      <c r="D44" s="327">
        <v>1839.8599199111513</v>
      </c>
      <c r="E44" s="327">
        <v>1839.8599199111513</v>
      </c>
      <c r="F44" s="328">
        <v>1847.760222731649</v>
      </c>
    </row>
    <row r="45" spans="1:6" x14ac:dyDescent="0.2">
      <c r="A45" s="1">
        <v>8</v>
      </c>
      <c r="B45" s="306" t="str">
        <f t="shared" si="1"/>
        <v>MΤ Αγροτικοί με Ωριαίο Μετρητή</v>
      </c>
      <c r="C45" s="326">
        <f>[1]RR_Current_Allocation!O97</f>
        <v>0</v>
      </c>
      <c r="D45" s="327">
        <v>244.61336834311186</v>
      </c>
      <c r="E45" s="327">
        <v>244.61336834311186</v>
      </c>
      <c r="F45" s="329">
        <v>244.61336834311186</v>
      </c>
    </row>
    <row r="46" spans="1:6" ht="13.5" thickBot="1" x14ac:dyDescent="0.25">
      <c r="A46" s="1">
        <v>9</v>
      </c>
      <c r="B46" s="307" t="str">
        <f t="shared" si="1"/>
        <v>MΤ Λοιποί με Ωριαίο Μετρητή</v>
      </c>
      <c r="C46" s="330">
        <f>[1]RR_Current_Allocation!O98</f>
        <v>5823.865331650808</v>
      </c>
      <c r="D46" s="331">
        <v>6145.0932482846265</v>
      </c>
      <c r="E46" s="331">
        <v>6145.0932482846265</v>
      </c>
      <c r="F46" s="332">
        <v>6147.9965959967212</v>
      </c>
    </row>
    <row r="47" spans="1:6" ht="13.5" thickBot="1" x14ac:dyDescent="0.25">
      <c r="B47" s="1"/>
      <c r="C47" s="1"/>
      <c r="D47" s="1"/>
      <c r="E47" s="1"/>
      <c r="F47" s="1"/>
    </row>
    <row r="48" spans="1:6" ht="13.5" thickBot="1" x14ac:dyDescent="0.25">
      <c r="B48" s="1"/>
      <c r="C48" s="58" t="s">
        <v>27</v>
      </c>
      <c r="D48" s="59"/>
      <c r="E48" s="59"/>
      <c r="F48" s="60"/>
    </row>
    <row r="49" spans="1:8" x14ac:dyDescent="0.2">
      <c r="A49" s="1">
        <v>1</v>
      </c>
      <c r="B49" s="39" t="str">
        <f t="shared" ref="B49:B57" si="2">B38</f>
        <v>ΧΤ Αγροτικοί Χωρίς Ωριαίο Μετρητή</v>
      </c>
      <c r="C49" s="333"/>
      <c r="D49" s="334">
        <f>D38-$C38</f>
        <v>6.997717834155182</v>
      </c>
      <c r="E49" s="334">
        <f t="shared" ref="E49:F49" si="3">E38-$C38</f>
        <v>6.997717834155182</v>
      </c>
      <c r="F49" s="335">
        <f t="shared" si="3"/>
        <v>6.997717834155182</v>
      </c>
    </row>
    <row r="50" spans="1:8" x14ac:dyDescent="0.2">
      <c r="A50" s="1">
        <v>2</v>
      </c>
      <c r="B50" s="45" t="str">
        <f t="shared" si="2"/>
        <v>ΧΤ Εμπορικοί χωρίς Ωριαίο Μετρητή</v>
      </c>
      <c r="C50" s="336"/>
      <c r="D50" s="337">
        <f t="shared" ref="D50:F57" si="4">D39-$C39</f>
        <v>-19.545022504214145</v>
      </c>
      <c r="E50" s="337">
        <f t="shared" si="4"/>
        <v>-19.545022504214145</v>
      </c>
      <c r="F50" s="338">
        <f t="shared" si="4"/>
        <v>-18.896507718955348</v>
      </c>
    </row>
    <row r="51" spans="1:8" x14ac:dyDescent="0.2">
      <c r="A51" s="1">
        <v>3</v>
      </c>
      <c r="B51" s="45" t="str">
        <f t="shared" si="2"/>
        <v>ΧΤ Βιομηχανικοί χωρίς Ωριαίο Μετρητή</v>
      </c>
      <c r="C51" s="336"/>
      <c r="D51" s="337">
        <f t="shared" si="4"/>
        <v>-2.9008583072221086</v>
      </c>
      <c r="E51" s="337">
        <f t="shared" si="4"/>
        <v>-2.9008583072221086</v>
      </c>
      <c r="F51" s="338">
        <f t="shared" si="4"/>
        <v>-2.8035821962863281</v>
      </c>
    </row>
    <row r="52" spans="1:8" x14ac:dyDescent="0.2">
      <c r="A52" s="1">
        <v>4</v>
      </c>
      <c r="B52" s="45" t="str">
        <f t="shared" si="2"/>
        <v>ΧΤ ΦΟΠ, χωρίς Ωριαίο Μετρητή</v>
      </c>
      <c r="C52" s="336"/>
      <c r="D52" s="337">
        <f t="shared" si="4"/>
        <v>-36.855541753734144</v>
      </c>
      <c r="E52" s="337">
        <f t="shared" si="4"/>
        <v>-36.855541753734144</v>
      </c>
      <c r="F52" s="338">
        <f t="shared" si="4"/>
        <v>-40.412259810587187</v>
      </c>
      <c r="G52" s="96"/>
      <c r="H52" s="96"/>
    </row>
    <row r="53" spans="1:8" x14ac:dyDescent="0.2">
      <c r="A53" s="1">
        <v>5</v>
      </c>
      <c r="B53" s="45" t="str">
        <f t="shared" si="2"/>
        <v>ΧΤ Λοιποί χωρίς Ωριαίο Μετρητή</v>
      </c>
      <c r="C53" s="336"/>
      <c r="D53" s="337">
        <f t="shared" si="4"/>
        <v>7.1429547179271964</v>
      </c>
      <c r="E53" s="337">
        <f t="shared" si="4"/>
        <v>7.1429547179271964</v>
      </c>
      <c r="F53" s="338">
        <f t="shared" si="4"/>
        <v>6.9988040844226305</v>
      </c>
      <c r="G53" s="96"/>
      <c r="H53" s="96"/>
    </row>
    <row r="54" spans="1:8" x14ac:dyDescent="0.2">
      <c r="A54" s="1">
        <v>6</v>
      </c>
      <c r="B54" s="45" t="str">
        <f t="shared" si="2"/>
        <v>ΧΤ Αγροτικοί με Ωριαίο Μετρητή</v>
      </c>
      <c r="C54" s="336"/>
      <c r="D54" s="337">
        <f t="shared" si="4"/>
        <v>6.997717834155182</v>
      </c>
      <c r="E54" s="337">
        <f t="shared" si="4"/>
        <v>6.997717834155182</v>
      </c>
      <c r="F54" s="338">
        <f t="shared" si="4"/>
        <v>6.997717834155182</v>
      </c>
      <c r="G54" s="96"/>
      <c r="H54" s="96"/>
    </row>
    <row r="55" spans="1:8" x14ac:dyDescent="0.2">
      <c r="A55" s="1">
        <v>7</v>
      </c>
      <c r="B55" s="45" t="str">
        <f t="shared" si="2"/>
        <v>ΧΤ Λοιποί με Ωριαίο Μετρητή</v>
      </c>
      <c r="C55" s="336"/>
      <c r="D55" s="337">
        <f t="shared" si="4"/>
        <v>-459.22843144838635</v>
      </c>
      <c r="E55" s="337">
        <f t="shared" si="4"/>
        <v>-459.22843144838635</v>
      </c>
      <c r="F55" s="338">
        <f t="shared" si="4"/>
        <v>-451.32812862788865</v>
      </c>
      <c r="G55" s="96"/>
      <c r="H55" s="96"/>
    </row>
    <row r="56" spans="1:8" x14ac:dyDescent="0.2">
      <c r="A56" s="1">
        <v>8</v>
      </c>
      <c r="B56" s="50" t="str">
        <f t="shared" si="2"/>
        <v>MΤ Αγροτικοί με Ωριαίο Μετρητή</v>
      </c>
      <c r="C56" s="336"/>
      <c r="D56" s="337">
        <f t="shared" si="4"/>
        <v>244.61336834311186</v>
      </c>
      <c r="E56" s="337">
        <f t="shared" si="4"/>
        <v>244.61336834311186</v>
      </c>
      <c r="F56" s="338">
        <f t="shared" si="4"/>
        <v>244.61336834311186</v>
      </c>
      <c r="G56" s="96"/>
      <c r="H56" s="96"/>
    </row>
    <row r="57" spans="1:8" ht="13.5" thickBot="1" x14ac:dyDescent="0.25">
      <c r="A57" s="1">
        <v>9</v>
      </c>
      <c r="B57" s="51" t="str">
        <f t="shared" si="2"/>
        <v>MΤ Λοιποί με Ωριαίο Μετρητή</v>
      </c>
      <c r="C57" s="339"/>
      <c r="D57" s="340">
        <f t="shared" si="4"/>
        <v>321.2279166338185</v>
      </c>
      <c r="E57" s="340">
        <f t="shared" si="4"/>
        <v>321.2279166338185</v>
      </c>
      <c r="F57" s="341">
        <f t="shared" si="4"/>
        <v>324.13126434591322</v>
      </c>
      <c r="G57" s="96"/>
      <c r="H57" s="96"/>
    </row>
    <row r="58" spans="1:8" ht="13.5" thickBot="1" x14ac:dyDescent="0.25">
      <c r="B58" s="1"/>
      <c r="C58" s="1"/>
      <c r="D58" s="1"/>
      <c r="E58" s="1"/>
      <c r="F58" s="1"/>
      <c r="G58" s="96"/>
      <c r="H58" s="96"/>
    </row>
    <row r="59" spans="1:8" ht="13.5" thickBot="1" x14ac:dyDescent="0.25">
      <c r="B59" s="1"/>
      <c r="C59" s="58" t="s">
        <v>120</v>
      </c>
      <c r="D59" s="59"/>
      <c r="E59" s="59"/>
      <c r="F59" s="60"/>
      <c r="G59" s="96"/>
      <c r="H59" s="96"/>
    </row>
    <row r="60" spans="1:8" x14ac:dyDescent="0.2">
      <c r="A60" s="1">
        <v>1</v>
      </c>
      <c r="B60" s="39" t="str">
        <f t="shared" ref="B60:B68" si="5">B49</f>
        <v>ΧΤ Αγροτικοί Χωρίς Ωριαίο Μετρητή</v>
      </c>
      <c r="C60" s="333"/>
      <c r="D60" s="342" t="str">
        <f>IFERROR(D49/$C38,"")</f>
        <v/>
      </c>
      <c r="E60" s="342" t="str">
        <f t="shared" ref="E60:F60" si="6">IFERROR(E49/$C38,"")</f>
        <v/>
      </c>
      <c r="F60" s="343" t="str">
        <f t="shared" si="6"/>
        <v/>
      </c>
    </row>
    <row r="61" spans="1:8" x14ac:dyDescent="0.2">
      <c r="A61" s="1">
        <v>2</v>
      </c>
      <c r="B61" s="45" t="str">
        <f t="shared" si="5"/>
        <v>ΧΤ Εμπορικοί χωρίς Ωριαίο Μετρητή</v>
      </c>
      <c r="C61" s="336"/>
      <c r="D61" s="344">
        <f t="shared" ref="D61:F68" si="7">IFERROR(D50/$C39,"")</f>
        <v>-0.13756590462448498</v>
      </c>
      <c r="E61" s="344">
        <f t="shared" si="7"/>
        <v>-0.13756590462448498</v>
      </c>
      <c r="F61" s="345">
        <f t="shared" si="7"/>
        <v>-0.13300139091889859</v>
      </c>
    </row>
    <row r="62" spans="1:8" x14ac:dyDescent="0.2">
      <c r="A62" s="1">
        <v>3</v>
      </c>
      <c r="B62" s="45" t="str">
        <f t="shared" si="5"/>
        <v>ΧΤ Βιομηχανικοί χωρίς Ωριαίο Μετρητή</v>
      </c>
      <c r="C62" s="336"/>
      <c r="D62" s="344">
        <f t="shared" si="7"/>
        <v>-1.3470484892016308E-2</v>
      </c>
      <c r="E62" s="344">
        <f t="shared" si="7"/>
        <v>-1.3470484892016308E-2</v>
      </c>
      <c r="F62" s="345">
        <f t="shared" si="7"/>
        <v>-1.3018771556190075E-2</v>
      </c>
    </row>
    <row r="63" spans="1:8" x14ac:dyDescent="0.2">
      <c r="A63" s="1">
        <v>4</v>
      </c>
      <c r="B63" s="45" t="str">
        <f t="shared" si="5"/>
        <v>ΧΤ ΦΟΠ, χωρίς Ωριαίο Μετρητή</v>
      </c>
      <c r="C63" s="336"/>
      <c r="D63" s="344">
        <f t="shared" si="7"/>
        <v>-0.18597557546358329</v>
      </c>
      <c r="E63" s="344">
        <f t="shared" si="7"/>
        <v>-0.18597557546358329</v>
      </c>
      <c r="F63" s="345">
        <f t="shared" si="7"/>
        <v>-0.2039230171754649</v>
      </c>
    </row>
    <row r="64" spans="1:8" x14ac:dyDescent="0.2">
      <c r="A64" s="1">
        <v>5</v>
      </c>
      <c r="B64" s="45" t="str">
        <f t="shared" si="5"/>
        <v>ΧΤ Λοιποί χωρίς Ωριαίο Μετρητή</v>
      </c>
      <c r="C64" s="336"/>
      <c r="D64" s="344">
        <f t="shared" si="7"/>
        <v>0.11005161521004796</v>
      </c>
      <c r="E64" s="344">
        <f>IFERROR(E53/$C42,"")</f>
        <v>0.11005161521004796</v>
      </c>
      <c r="F64" s="345">
        <f t="shared" si="7"/>
        <v>0.10783068414199652</v>
      </c>
    </row>
    <row r="65" spans="1:6" x14ac:dyDescent="0.2">
      <c r="A65" s="1">
        <v>6</v>
      </c>
      <c r="B65" s="45" t="str">
        <f t="shared" si="5"/>
        <v>ΧΤ Αγροτικοί με Ωριαίο Μετρητή</v>
      </c>
      <c r="C65" s="336"/>
      <c r="D65" s="344" t="str">
        <f t="shared" si="7"/>
        <v/>
      </c>
      <c r="E65" s="344" t="str">
        <f t="shared" si="7"/>
        <v/>
      </c>
      <c r="F65" s="345" t="str">
        <f t="shared" si="7"/>
        <v/>
      </c>
    </row>
    <row r="66" spans="1:6" x14ac:dyDescent="0.2">
      <c r="A66" s="1">
        <v>7</v>
      </c>
      <c r="B66" s="45" t="str">
        <f t="shared" si="5"/>
        <v>ΧΤ Λοιποί με Ωριαίο Μετρητή</v>
      </c>
      <c r="C66" s="336"/>
      <c r="D66" s="344">
        <f t="shared" si="7"/>
        <v>-0.19974370762081728</v>
      </c>
      <c r="E66" s="344">
        <f t="shared" si="7"/>
        <v>-0.19974370762081728</v>
      </c>
      <c r="F66" s="345">
        <f t="shared" si="7"/>
        <v>-0.19630743131772266</v>
      </c>
    </row>
    <row r="67" spans="1:6" x14ac:dyDescent="0.2">
      <c r="A67" s="1">
        <v>8</v>
      </c>
      <c r="B67" s="50" t="str">
        <f t="shared" si="5"/>
        <v>MΤ Αγροτικοί με Ωριαίο Μετρητή</v>
      </c>
      <c r="C67" s="336"/>
      <c r="D67" s="344" t="str">
        <f t="shared" si="7"/>
        <v/>
      </c>
      <c r="E67" s="344" t="str">
        <f t="shared" si="7"/>
        <v/>
      </c>
      <c r="F67" s="345" t="str">
        <f t="shared" si="7"/>
        <v/>
      </c>
    </row>
    <row r="68" spans="1:6" ht="13.5" thickBot="1" x14ac:dyDescent="0.25">
      <c r="A68" s="1">
        <v>9</v>
      </c>
      <c r="B68" s="51" t="str">
        <f t="shared" si="5"/>
        <v>MΤ Λοιποί με Ωριαίο Μετρητή</v>
      </c>
      <c r="C68" s="339"/>
      <c r="D68" s="346">
        <f t="shared" si="7"/>
        <v>5.5157167678320025E-2</v>
      </c>
      <c r="E68" s="346">
        <f t="shared" si="7"/>
        <v>5.5157167678320025E-2</v>
      </c>
      <c r="F68" s="347">
        <f t="shared" si="7"/>
        <v>5.5655693579376837E-2</v>
      </c>
    </row>
    <row r="69" spans="1:6" ht="13.5" thickBot="1" x14ac:dyDescent="0.25">
      <c r="B69" s="1"/>
      <c r="C69" s="1"/>
      <c r="D69" s="348"/>
      <c r="E69" s="348"/>
      <c r="F69" s="1"/>
    </row>
    <row r="70" spans="1:6" ht="13.5" thickBot="1" x14ac:dyDescent="0.25">
      <c r="B70" s="1"/>
      <c r="C70" s="112" t="s">
        <v>29</v>
      </c>
      <c r="D70" s="113"/>
      <c r="E70" s="113"/>
      <c r="F70" s="113"/>
    </row>
    <row r="71" spans="1:6" x14ac:dyDescent="0.2">
      <c r="A71" s="1">
        <v>1</v>
      </c>
      <c r="B71" s="39" t="str">
        <f t="shared" ref="B71:B79" si="8">B60</f>
        <v>ΧΤ Αγροτικοί Χωρίς Ωριαίο Μετρητή</v>
      </c>
      <c r="C71" s="323">
        <f>'[1]RAE_Μετάβαση (online)'!C65</f>
        <v>0</v>
      </c>
      <c r="D71" s="324">
        <v>6.997717834155182</v>
      </c>
      <c r="E71" s="324">
        <v>6.997717834155182</v>
      </c>
      <c r="F71" s="325">
        <v>6.997717834155182</v>
      </c>
    </row>
    <row r="72" spans="1:6" x14ac:dyDescent="0.2">
      <c r="A72" s="1">
        <v>2</v>
      </c>
      <c r="B72" s="45" t="str">
        <f t="shared" si="8"/>
        <v>ΧΤ Εμπορικοί χωρίς Ωριαίο Μετρητή</v>
      </c>
      <c r="C72" s="326">
        <f>'[1]RAE_Μετάβαση (online)'!C66</f>
        <v>0</v>
      </c>
      <c r="D72" s="327">
        <v>6.9977178341551811</v>
      </c>
      <c r="E72" s="327">
        <v>6.9977178341551811</v>
      </c>
      <c r="F72" s="329">
        <v>6.9977178341551811</v>
      </c>
    </row>
    <row r="73" spans="1:6" x14ac:dyDescent="0.2">
      <c r="A73" s="1">
        <v>3</v>
      </c>
      <c r="B73" s="45" t="str">
        <f t="shared" si="8"/>
        <v>ΧΤ Βιομηχανικοί χωρίς Ωριαίο Μετρητή</v>
      </c>
      <c r="C73" s="326">
        <f>'[1]RAE_Μετάβαση (online)'!C67</f>
        <v>0</v>
      </c>
      <c r="D73" s="327">
        <v>6.9977178341551811</v>
      </c>
      <c r="E73" s="327">
        <v>6.9977178341551811</v>
      </c>
      <c r="F73" s="329">
        <v>6.9977178341551811</v>
      </c>
    </row>
    <row r="74" spans="1:6" x14ac:dyDescent="0.2">
      <c r="A74" s="1">
        <v>4</v>
      </c>
      <c r="B74" s="45" t="str">
        <f t="shared" si="8"/>
        <v>ΧΤ ΦΟΠ, χωρίς Ωριαίο Μετρητή</v>
      </c>
      <c r="C74" s="326">
        <f>'[1]RAE_Μετάβαση (online)'!C68</f>
        <v>0</v>
      </c>
      <c r="D74" s="327">
        <v>6.997717834155182</v>
      </c>
      <c r="E74" s="327">
        <v>6.997717834155182</v>
      </c>
      <c r="F74" s="329">
        <v>6.997717834155182</v>
      </c>
    </row>
    <row r="75" spans="1:6" x14ac:dyDescent="0.2">
      <c r="A75" s="1">
        <v>5</v>
      </c>
      <c r="B75" s="45" t="str">
        <f t="shared" si="8"/>
        <v>ΧΤ Λοιποί χωρίς Ωριαίο Μετρητή</v>
      </c>
      <c r="C75" s="326">
        <f>'[1]RAE_Μετάβαση (online)'!C69</f>
        <v>0</v>
      </c>
      <c r="D75" s="327">
        <v>6.997717834155182</v>
      </c>
      <c r="E75" s="327">
        <v>6.997717834155182</v>
      </c>
      <c r="F75" s="329">
        <v>6.997717834155182</v>
      </c>
    </row>
    <row r="76" spans="1:6" x14ac:dyDescent="0.2">
      <c r="A76" s="1">
        <v>6</v>
      </c>
      <c r="B76" s="45" t="str">
        <f t="shared" si="8"/>
        <v>ΧΤ Αγροτικοί με Ωριαίο Μετρητή</v>
      </c>
      <c r="C76" s="326">
        <f>'[1]RAE_Μετάβαση (online)'!C70</f>
        <v>0</v>
      </c>
      <c r="D76" s="327">
        <v>6.997717834155182</v>
      </c>
      <c r="E76" s="327">
        <v>6.997717834155182</v>
      </c>
      <c r="F76" s="329">
        <v>6.997717834155182</v>
      </c>
    </row>
    <row r="77" spans="1:6" x14ac:dyDescent="0.2">
      <c r="A77" s="1">
        <v>7</v>
      </c>
      <c r="B77" s="45" t="str">
        <f t="shared" si="8"/>
        <v>ΧΤ Λοιποί με Ωριαίο Μετρητή</v>
      </c>
      <c r="C77" s="326">
        <f>'[1]RAE_Μετάβαση (online)'!C71</f>
        <v>0</v>
      </c>
      <c r="D77" s="327">
        <v>6.997717834155182</v>
      </c>
      <c r="E77" s="327">
        <v>6.997717834155182</v>
      </c>
      <c r="F77" s="329">
        <v>6.997717834155182</v>
      </c>
    </row>
    <row r="78" spans="1:6" x14ac:dyDescent="0.2">
      <c r="A78" s="1">
        <v>8</v>
      </c>
      <c r="B78" s="50" t="str">
        <f t="shared" si="8"/>
        <v>MΤ Αγροτικοί με Ωριαίο Μετρητή</v>
      </c>
      <c r="C78" s="326">
        <f>'[1]RAE_Μετάβαση (online)'!C72</f>
        <v>0</v>
      </c>
      <c r="D78" s="327">
        <v>244.61336834311186</v>
      </c>
      <c r="E78" s="327">
        <v>244.61336834311186</v>
      </c>
      <c r="F78" s="329">
        <v>244.61336834311186</v>
      </c>
    </row>
    <row r="79" spans="1:6" ht="13.5" thickBot="1" x14ac:dyDescent="0.25">
      <c r="A79" s="1">
        <v>9</v>
      </c>
      <c r="B79" s="51" t="str">
        <f t="shared" si="8"/>
        <v>MΤ Λοιποί με Ωριαίο Μετρητή</v>
      </c>
      <c r="C79" s="330">
        <f>'[1]RAE_Μετάβαση (online)'!C73</f>
        <v>0</v>
      </c>
      <c r="D79" s="331">
        <v>244.61336834311189</v>
      </c>
      <c r="E79" s="331">
        <v>244.61336834311189</v>
      </c>
      <c r="F79" s="349">
        <v>244.61336834311189</v>
      </c>
    </row>
    <row r="80" spans="1:6" ht="13.5" thickBot="1" x14ac:dyDescent="0.25">
      <c r="B80" s="1"/>
      <c r="C80" s="1"/>
      <c r="D80" s="1"/>
      <c r="E80" s="1"/>
      <c r="F80" s="1"/>
    </row>
    <row r="81" spans="1:6" ht="13.5" thickBot="1" x14ac:dyDescent="0.25">
      <c r="B81" s="1"/>
      <c r="C81" s="112" t="s">
        <v>30</v>
      </c>
      <c r="D81" s="113"/>
      <c r="E81" s="113"/>
      <c r="F81" s="113"/>
    </row>
    <row r="82" spans="1:6" x14ac:dyDescent="0.2">
      <c r="A82" s="1">
        <v>1</v>
      </c>
      <c r="B82" s="39" t="str">
        <f t="shared" ref="B82:B90" si="9">B71</f>
        <v>ΧΤ Αγροτικοί Χωρίς Ωριαίο Μετρητή</v>
      </c>
      <c r="C82" s="350">
        <f>[1]RR_Current_Allocation!M71</f>
        <v>0</v>
      </c>
      <c r="D82" s="351">
        <v>0</v>
      </c>
      <c r="E82" s="351">
        <v>0</v>
      </c>
      <c r="F82" s="352">
        <v>0</v>
      </c>
    </row>
    <row r="83" spans="1:6" x14ac:dyDescent="0.2">
      <c r="A83" s="1">
        <v>2</v>
      </c>
      <c r="B83" s="45" t="str">
        <f t="shared" si="9"/>
        <v>ΧΤ Εμπορικοί χωρίς Ωριαίο Μετρητή</v>
      </c>
      <c r="C83" s="353">
        <f>[1]RR_Current_Allocation!M72</f>
        <v>1.7741879980485709</v>
      </c>
      <c r="D83" s="354">
        <v>0.21341650674426371</v>
      </c>
      <c r="E83" s="354">
        <v>0.21341650674426371</v>
      </c>
      <c r="F83" s="355">
        <v>0.21341650674426371</v>
      </c>
    </row>
    <row r="84" spans="1:6" x14ac:dyDescent="0.2">
      <c r="A84" s="1">
        <v>3</v>
      </c>
      <c r="B84" s="45" t="str">
        <f t="shared" si="9"/>
        <v>ΧΤ Βιομηχανικοί χωρίς Ωριαίο Μετρητή</v>
      </c>
      <c r="C84" s="353">
        <f>[1]RR_Current_Allocation!M73</f>
        <v>1.7741879980485706</v>
      </c>
      <c r="D84" s="354">
        <v>0.21341650674426371</v>
      </c>
      <c r="E84" s="354">
        <v>0.21341650674426371</v>
      </c>
      <c r="F84" s="355">
        <v>0.21341650674426371</v>
      </c>
    </row>
    <row r="85" spans="1:6" x14ac:dyDescent="0.2">
      <c r="A85" s="1">
        <v>4</v>
      </c>
      <c r="B85" s="45" t="str">
        <f t="shared" si="9"/>
        <v>ΧΤ ΦΟΠ, χωρίς Ωριαίο Μετρητή</v>
      </c>
      <c r="C85" s="353">
        <f>[1]RR_Current_Allocation!M74</f>
        <v>1.7741879980485702</v>
      </c>
      <c r="D85" s="354">
        <v>0.21341650674426371</v>
      </c>
      <c r="E85" s="354">
        <v>0.21341650674426371</v>
      </c>
      <c r="F85" s="355">
        <v>0.21341650674426371</v>
      </c>
    </row>
    <row r="86" spans="1:6" x14ac:dyDescent="0.2">
      <c r="A86" s="1">
        <v>5</v>
      </c>
      <c r="B86" s="45" t="str">
        <f t="shared" si="9"/>
        <v>ΧΤ Λοιποί χωρίς Ωριαίο Μετρητή</v>
      </c>
      <c r="C86" s="353">
        <f>[1]RR_Current_Allocation!M75</f>
        <v>1.9959614978046414</v>
      </c>
      <c r="D86" s="354">
        <v>0.21341650674426371</v>
      </c>
      <c r="E86" s="354">
        <v>0.21341650674426371</v>
      </c>
      <c r="F86" s="355">
        <v>0.21341650674426371</v>
      </c>
    </row>
    <row r="87" spans="1:6" x14ac:dyDescent="0.2">
      <c r="A87" s="1">
        <v>6</v>
      </c>
      <c r="B87" s="45" t="str">
        <f t="shared" si="9"/>
        <v>ΧΤ Αγροτικοί με Ωριαίο Μετρητή</v>
      </c>
      <c r="C87" s="353">
        <f>[1]RR_Current_Allocation!M76</f>
        <v>0</v>
      </c>
      <c r="D87" s="354">
        <v>0</v>
      </c>
      <c r="E87" s="354">
        <v>0</v>
      </c>
      <c r="F87" s="355">
        <v>0</v>
      </c>
    </row>
    <row r="88" spans="1:6" x14ac:dyDescent="0.2">
      <c r="A88" s="1">
        <v>7</v>
      </c>
      <c r="B88" s="45" t="str">
        <f t="shared" si="9"/>
        <v>ΧΤ Λοιποί με Ωριαίο Μετρητή</v>
      </c>
      <c r="C88" s="353">
        <f>[1]RR_Current_Allocation!M77</f>
        <v>1.6969061015917912</v>
      </c>
      <c r="D88" s="354">
        <v>0.20412029214100935</v>
      </c>
      <c r="E88" s="354">
        <v>0.20412029214100935</v>
      </c>
      <c r="F88" s="355">
        <v>0.20412029214100935</v>
      </c>
    </row>
    <row r="89" spans="1:6" x14ac:dyDescent="0.2">
      <c r="A89" s="1">
        <v>8</v>
      </c>
      <c r="B89" s="50" t="str">
        <f t="shared" si="9"/>
        <v>MΤ Αγροτικοί με Ωριαίο Μετρητή</v>
      </c>
      <c r="C89" s="353">
        <f>[1]RR_Current_Allocation!M78</f>
        <v>0</v>
      </c>
      <c r="D89" s="354">
        <v>0</v>
      </c>
      <c r="E89" s="354">
        <v>0</v>
      </c>
      <c r="F89" s="355">
        <v>0</v>
      </c>
    </row>
    <row r="90" spans="1:6" ht="13.5" thickBot="1" x14ac:dyDescent="0.25">
      <c r="A90" s="1">
        <v>9</v>
      </c>
      <c r="B90" s="51" t="str">
        <f t="shared" si="9"/>
        <v>MΤ Λοιποί με Ωριαίο Μετρητή</v>
      </c>
      <c r="C90" s="356">
        <f>[1]RR_Current_Allocation!M79</f>
        <v>0.29771596560727043</v>
      </c>
      <c r="D90" s="357">
        <v>8.2775010351996914E-2</v>
      </c>
      <c r="E90" s="357">
        <v>8.2775010351996914E-2</v>
      </c>
      <c r="F90" s="358">
        <v>8.2775010351996914E-2</v>
      </c>
    </row>
    <row r="91" spans="1:6" ht="13.5" thickBot="1" x14ac:dyDescent="0.25">
      <c r="B91" s="1"/>
      <c r="C91" s="1"/>
      <c r="D91" s="1"/>
      <c r="E91" s="1"/>
      <c r="F91" s="1"/>
    </row>
    <row r="92" spans="1:6" ht="13.5" thickBot="1" x14ac:dyDescent="0.25">
      <c r="B92" s="1"/>
      <c r="C92" s="112" t="s">
        <v>31</v>
      </c>
      <c r="D92" s="113"/>
      <c r="E92" s="113"/>
      <c r="F92" s="113"/>
    </row>
    <row r="93" spans="1:6" x14ac:dyDescent="0.2">
      <c r="A93" s="1">
        <v>1</v>
      </c>
      <c r="B93" s="39" t="str">
        <f t="shared" ref="B93:B101" si="10">B82</f>
        <v>ΧΤ Αγροτικοί Χωρίς Ωριαίο Μετρητή</v>
      </c>
      <c r="C93" s="359">
        <f>[1]RR_Current_Allocation!K71</f>
        <v>0</v>
      </c>
      <c r="D93" s="324">
        <v>0</v>
      </c>
      <c r="E93" s="324">
        <v>0</v>
      </c>
      <c r="F93" s="325">
        <v>0</v>
      </c>
    </row>
    <row r="94" spans="1:6" x14ac:dyDescent="0.2">
      <c r="A94" s="1">
        <v>2</v>
      </c>
      <c r="B94" s="45" t="str">
        <f t="shared" si="10"/>
        <v>ΧΤ Εμπορικοί χωρίς Ωριαίο Μετρητή</v>
      </c>
      <c r="C94" s="360">
        <f>[1]RR_Current_Allocation!K72</f>
        <v>1.5568256395839073</v>
      </c>
      <c r="D94" s="327">
        <v>5.9182541957938293</v>
      </c>
      <c r="E94" s="327">
        <v>5.9182541957938293</v>
      </c>
      <c r="F94" s="361">
        <v>5.9556789867053679</v>
      </c>
    </row>
    <row r="95" spans="1:6" x14ac:dyDescent="0.2">
      <c r="A95" s="1">
        <v>3</v>
      </c>
      <c r="B95" s="45" t="str">
        <f t="shared" si="10"/>
        <v>ΧΤ Βιομηχανικοί χωρίς Ωριαίο Μετρητή</v>
      </c>
      <c r="C95" s="360">
        <f>[1]RR_Current_Allocation!K73</f>
        <v>1.9388499906532186</v>
      </c>
      <c r="D95" s="327">
        <v>7.9728317283741346</v>
      </c>
      <c r="E95" s="327">
        <v>7.9728317283741346</v>
      </c>
      <c r="F95" s="361">
        <v>7.9770483832247399</v>
      </c>
    </row>
    <row r="96" spans="1:6" x14ac:dyDescent="0.2">
      <c r="A96" s="1">
        <v>4</v>
      </c>
      <c r="B96" s="45" t="str">
        <f t="shared" si="10"/>
        <v>ΧΤ ΦΟΠ, χωρίς Ωριαίο Μετρητή</v>
      </c>
      <c r="C96" s="360">
        <f>[1]RR_Current_Allocation!K74</f>
        <v>3.1822442069842656</v>
      </c>
      <c r="D96" s="327">
        <v>11.708586453655908</v>
      </c>
      <c r="E96" s="327">
        <v>11.708586453655908</v>
      </c>
      <c r="F96" s="361">
        <v>11.403442558514923</v>
      </c>
    </row>
    <row r="97" spans="1:6" x14ac:dyDescent="0.2">
      <c r="A97" s="1">
        <v>5</v>
      </c>
      <c r="B97" s="45" t="str">
        <f t="shared" si="10"/>
        <v>ΧΤ Λοιποί χωρίς Ωριαίο Μετρητή</v>
      </c>
      <c r="C97" s="360">
        <f>[1]RR_Current_Allocation!K75</f>
        <v>0.51705562033326835</v>
      </c>
      <c r="D97" s="327">
        <v>4.4894004188480041</v>
      </c>
      <c r="E97" s="327">
        <v>4.4894004188480041</v>
      </c>
      <c r="F97" s="361">
        <v>4.4783494261051295</v>
      </c>
    </row>
    <row r="98" spans="1:6" x14ac:dyDescent="0.2">
      <c r="A98" s="1">
        <v>6</v>
      </c>
      <c r="B98" s="45" t="str">
        <f t="shared" si="10"/>
        <v>ΧΤ Αγροτικοί με Ωριαίο Μετρητή</v>
      </c>
      <c r="C98" s="360">
        <f>[1]RR_Current_Allocation!K76</f>
        <v>0</v>
      </c>
      <c r="D98" s="327">
        <v>0</v>
      </c>
      <c r="E98" s="327">
        <v>0</v>
      </c>
      <c r="F98" s="329">
        <v>0</v>
      </c>
    </row>
    <row r="99" spans="1:6" x14ac:dyDescent="0.2">
      <c r="A99" s="1">
        <v>7</v>
      </c>
      <c r="B99" s="45" t="str">
        <f t="shared" si="10"/>
        <v>ΧΤ Λοιποί με Ωριαίο Μετρητή</v>
      </c>
      <c r="C99" s="360">
        <f>[1]RR_Current_Allocation!K77</f>
        <v>3.5065222717504647</v>
      </c>
      <c r="D99" s="327">
        <v>0</v>
      </c>
      <c r="E99" s="362">
        <v>8.4878107389436224</v>
      </c>
      <c r="F99" s="361">
        <v>8.5291233630663008</v>
      </c>
    </row>
    <row r="100" spans="1:6" x14ac:dyDescent="0.2">
      <c r="A100" s="1">
        <v>8</v>
      </c>
      <c r="B100" s="50" t="str">
        <f t="shared" si="10"/>
        <v>MΤ Αγροτικοί με Ωριαίο Μετρητή</v>
      </c>
      <c r="C100" s="360">
        <f>[1]RR_Current_Allocation!K78</f>
        <v>0</v>
      </c>
      <c r="D100" s="327">
        <v>0</v>
      </c>
      <c r="E100" s="327">
        <v>0</v>
      </c>
      <c r="F100" s="329">
        <v>0</v>
      </c>
    </row>
    <row r="101" spans="1:6" ht="13.5" thickBot="1" x14ac:dyDescent="0.25">
      <c r="A101" s="1">
        <v>9</v>
      </c>
      <c r="B101" s="51" t="str">
        <f t="shared" si="10"/>
        <v>MΤ Λοιποί με Ωριαίο Μετρητή</v>
      </c>
      <c r="C101" s="363">
        <f>[1]RR_Current_Allocation!K79</f>
        <v>0</v>
      </c>
      <c r="D101" s="331">
        <v>0</v>
      </c>
      <c r="E101" s="364">
        <v>4.5972716604750374</v>
      </c>
      <c r="F101" s="365">
        <v>4.5998935092155353</v>
      </c>
    </row>
    <row r="102" spans="1:6" ht="13.5" thickBot="1" x14ac:dyDescent="0.25">
      <c r="B102" s="1"/>
      <c r="C102" s="1"/>
      <c r="D102" s="1"/>
      <c r="E102" s="1"/>
      <c r="F102" s="1"/>
    </row>
    <row r="103" spans="1:6" ht="28.15" customHeight="1" thickBot="1" x14ac:dyDescent="0.25">
      <c r="B103" s="1"/>
      <c r="C103" s="366" t="s">
        <v>121</v>
      </c>
      <c r="D103" s="113"/>
      <c r="E103" s="113"/>
      <c r="F103" s="113"/>
    </row>
    <row r="104" spans="1:6" x14ac:dyDescent="0.2">
      <c r="A104" s="1">
        <v>1</v>
      </c>
      <c r="B104" s="39" t="str">
        <f t="shared" ref="B104:B112" si="11">B93</f>
        <v>ΧΤ Αγροτικοί Χωρίς Ωριαίο Μετρητή</v>
      </c>
      <c r="C104" s="367"/>
      <c r="D104" s="368"/>
      <c r="E104" s="368"/>
      <c r="F104" s="369"/>
    </row>
    <row r="105" spans="1:6" x14ac:dyDescent="0.2">
      <c r="A105" s="1">
        <v>2</v>
      </c>
      <c r="B105" s="45" t="str">
        <f t="shared" si="11"/>
        <v>ΧΤ Εμπορικοί χωρίς Ωριαίο Μετρητή</v>
      </c>
      <c r="C105" s="370"/>
      <c r="D105" s="371"/>
      <c r="E105" s="371"/>
      <c r="F105" s="372"/>
    </row>
    <row r="106" spans="1:6" x14ac:dyDescent="0.2">
      <c r="A106" s="1">
        <v>3</v>
      </c>
      <c r="B106" s="45" t="str">
        <f t="shared" si="11"/>
        <v>ΧΤ Βιομηχανικοί χωρίς Ωριαίο Μετρητή</v>
      </c>
      <c r="C106" s="370"/>
      <c r="D106" s="371"/>
      <c r="E106" s="371"/>
      <c r="F106" s="372"/>
    </row>
    <row r="107" spans="1:6" x14ac:dyDescent="0.2">
      <c r="A107" s="1">
        <v>4</v>
      </c>
      <c r="B107" s="45" t="str">
        <f t="shared" si="11"/>
        <v>ΧΤ ΦΟΠ, χωρίς Ωριαίο Μετρητή</v>
      </c>
      <c r="C107" s="370"/>
      <c r="D107" s="371"/>
      <c r="E107" s="371"/>
      <c r="F107" s="372"/>
    </row>
    <row r="108" spans="1:6" x14ac:dyDescent="0.2">
      <c r="A108" s="1">
        <v>5</v>
      </c>
      <c r="B108" s="45" t="str">
        <f t="shared" si="11"/>
        <v>ΧΤ Λοιποί χωρίς Ωριαίο Μετρητή</v>
      </c>
      <c r="C108" s="370"/>
      <c r="D108" s="371"/>
      <c r="E108" s="371"/>
      <c r="F108" s="372"/>
    </row>
    <row r="109" spans="1:6" x14ac:dyDescent="0.2">
      <c r="A109" s="1">
        <v>6</v>
      </c>
      <c r="B109" s="45" t="str">
        <f t="shared" si="11"/>
        <v>ΧΤ Αγροτικοί με Ωριαίο Μετρητή</v>
      </c>
      <c r="C109" s="370">
        <f>[1]RR_Current_Allocation!L76</f>
        <v>0</v>
      </c>
      <c r="D109" s="327">
        <v>0</v>
      </c>
      <c r="E109" s="327">
        <v>0</v>
      </c>
      <c r="F109" s="329">
        <v>0</v>
      </c>
    </row>
    <row r="110" spans="1:6" x14ac:dyDescent="0.2">
      <c r="A110" s="1">
        <v>7</v>
      </c>
      <c r="B110" s="45" t="str">
        <f t="shared" si="11"/>
        <v>ΧΤ Λοιποί με Ωριαίο Μετρητή</v>
      </c>
      <c r="C110" s="370">
        <f>[1]RR_Current_Allocation!L77</f>
        <v>0</v>
      </c>
      <c r="D110" s="327">
        <v>138.95628777791265</v>
      </c>
      <c r="E110" s="362">
        <v>48.634700722269422</v>
      </c>
      <c r="F110" s="361">
        <v>51.276129448640894</v>
      </c>
    </row>
    <row r="111" spans="1:6" x14ac:dyDescent="0.2">
      <c r="A111" s="1">
        <v>8</v>
      </c>
      <c r="B111" s="50" t="str">
        <f t="shared" si="11"/>
        <v>MΤ Αγροτικοί με Ωριαίο Μετρητή</v>
      </c>
      <c r="C111" s="370">
        <f>[1]RR_Current_Allocation!L78</f>
        <v>0</v>
      </c>
      <c r="D111" s="327">
        <v>0</v>
      </c>
      <c r="E111" s="327">
        <v>0</v>
      </c>
      <c r="F111" s="329">
        <v>0</v>
      </c>
    </row>
    <row r="112" spans="1:6" ht="13.5" thickBot="1" x14ac:dyDescent="0.25">
      <c r="A112" s="1">
        <v>9</v>
      </c>
      <c r="B112" s="51" t="str">
        <f t="shared" si="11"/>
        <v>MΤ Λοιποί με Ωριαίο Μετρητή</v>
      </c>
      <c r="C112" s="363">
        <f>[1]RR_Current_Allocation!L79</f>
        <v>1.1691369131095299</v>
      </c>
      <c r="D112" s="331">
        <v>43.458897019007779</v>
      </c>
      <c r="E112" s="364">
        <v>15.210613956652724</v>
      </c>
      <c r="F112" s="365">
        <v>16.034876994182625</v>
      </c>
    </row>
    <row r="113" spans="1:6" ht="13.5" thickBot="1" x14ac:dyDescent="0.25">
      <c r="B113" s="1"/>
      <c r="C113" s="1"/>
      <c r="D113" s="1"/>
      <c r="E113" s="1"/>
      <c r="F113" s="1"/>
    </row>
    <row r="114" spans="1:6" ht="27" customHeight="1" thickBot="1" x14ac:dyDescent="0.25">
      <c r="B114" s="1"/>
      <c r="C114" s="366" t="s">
        <v>122</v>
      </c>
      <c r="D114" s="113"/>
      <c r="E114" s="113"/>
      <c r="F114" s="113"/>
    </row>
    <row r="115" spans="1:6" x14ac:dyDescent="0.2">
      <c r="A115" s="1">
        <v>1</v>
      </c>
      <c r="B115" s="39" t="str">
        <f t="shared" ref="B115:B123" si="12">B104</f>
        <v>ΧΤ Αγροτικοί Χωρίς Ωριαίο Μετρητή</v>
      </c>
      <c r="C115" s="367"/>
      <c r="D115" s="368"/>
      <c r="E115" s="368"/>
      <c r="F115" s="369"/>
    </row>
    <row r="116" spans="1:6" x14ac:dyDescent="0.2">
      <c r="A116" s="1">
        <v>2</v>
      </c>
      <c r="B116" s="45" t="str">
        <f t="shared" si="12"/>
        <v>ΧΤ Εμπορικοί χωρίς Ωριαίο Μετρητή</v>
      </c>
      <c r="C116" s="370"/>
      <c r="D116" s="371"/>
      <c r="E116" s="371"/>
      <c r="F116" s="372"/>
    </row>
    <row r="117" spans="1:6" x14ac:dyDescent="0.2">
      <c r="A117" s="1">
        <v>3</v>
      </c>
      <c r="B117" s="45" t="str">
        <f t="shared" si="12"/>
        <v>ΧΤ Βιομηχανικοί χωρίς Ωριαίο Μετρητή</v>
      </c>
      <c r="C117" s="370"/>
      <c r="D117" s="371"/>
      <c r="E117" s="371"/>
      <c r="F117" s="372"/>
    </row>
    <row r="118" spans="1:6" x14ac:dyDescent="0.2">
      <c r="A118" s="1">
        <v>4</v>
      </c>
      <c r="B118" s="45" t="str">
        <f t="shared" si="12"/>
        <v>ΧΤ ΦΟΠ, χωρίς Ωριαίο Μετρητή</v>
      </c>
      <c r="C118" s="370"/>
      <c r="D118" s="371"/>
      <c r="E118" s="371"/>
      <c r="F118" s="372"/>
    </row>
    <row r="119" spans="1:6" x14ac:dyDescent="0.2">
      <c r="A119" s="1">
        <v>5</v>
      </c>
      <c r="B119" s="45" t="str">
        <f t="shared" si="12"/>
        <v>ΧΤ Λοιποί χωρίς Ωριαίο Μετρητή</v>
      </c>
      <c r="C119" s="370"/>
      <c r="D119" s="371"/>
      <c r="E119" s="371"/>
      <c r="F119" s="372"/>
    </row>
    <row r="120" spans="1:6" x14ac:dyDescent="0.2">
      <c r="A120" s="1">
        <v>6</v>
      </c>
      <c r="B120" s="45" t="str">
        <f t="shared" si="12"/>
        <v>ΧΤ Αγροτικοί με Ωριαίο Μετρητή</v>
      </c>
      <c r="C120" s="370">
        <f>[1]RR_Current_Allocation!L76</f>
        <v>0</v>
      </c>
      <c r="D120" s="327">
        <v>0</v>
      </c>
      <c r="E120" s="327">
        <v>0</v>
      </c>
      <c r="F120" s="329">
        <v>0</v>
      </c>
    </row>
    <row r="121" spans="1:6" x14ac:dyDescent="0.2">
      <c r="A121" s="1">
        <v>7</v>
      </c>
      <c r="B121" s="45" t="str">
        <f t="shared" si="12"/>
        <v>ΧΤ Λοιποί με Ωριαίο Μετρητή</v>
      </c>
      <c r="C121" s="370">
        <f>[1]RR_Current_Allocation!L77</f>
        <v>0</v>
      </c>
      <c r="D121" s="327">
        <v>138.95628777791265</v>
      </c>
      <c r="E121" s="362">
        <v>48.634700722269422</v>
      </c>
      <c r="F121" s="361">
        <v>41.020903558912721</v>
      </c>
    </row>
    <row r="122" spans="1:6" x14ac:dyDescent="0.2">
      <c r="A122" s="1">
        <v>8</v>
      </c>
      <c r="B122" s="50" t="str">
        <f t="shared" si="12"/>
        <v>MΤ Αγροτικοί με Ωριαίο Μετρητή</v>
      </c>
      <c r="C122" s="370">
        <f>[1]RR_Current_Allocation!L78</f>
        <v>0</v>
      </c>
      <c r="D122" s="327">
        <v>0</v>
      </c>
      <c r="E122" s="327">
        <v>0</v>
      </c>
      <c r="F122" s="329">
        <v>0</v>
      </c>
    </row>
    <row r="123" spans="1:6" ht="13.5" thickBot="1" x14ac:dyDescent="0.25">
      <c r="A123" s="1">
        <v>9</v>
      </c>
      <c r="B123" s="51" t="str">
        <f t="shared" si="12"/>
        <v>MΤ Λοιποί με Ωριαίο Μετρητή</v>
      </c>
      <c r="C123" s="363">
        <f>[1]RR_Current_Allocation!L79</f>
        <v>1.1691369131095299</v>
      </c>
      <c r="D123" s="331">
        <v>43.458897019007779</v>
      </c>
      <c r="E123" s="364">
        <v>15.210613956652724</v>
      </c>
      <c r="F123" s="365">
        <v>12.8279015953461</v>
      </c>
    </row>
    <row r="124" spans="1:6" x14ac:dyDescent="0.2">
      <c r="B124" s="1"/>
      <c r="C124" s="1"/>
      <c r="D124" s="1"/>
      <c r="E124" s="1"/>
      <c r="F124" s="1"/>
    </row>
    <row r="125" spans="1:6" ht="31.5" customHeight="1" x14ac:dyDescent="0.2">
      <c r="B125" s="373" t="s">
        <v>123</v>
      </c>
      <c r="C125" s="373"/>
      <c r="D125" s="373"/>
      <c r="E125" s="373"/>
      <c r="F125" s="373"/>
    </row>
  </sheetData>
  <mergeCells count="13">
    <mergeCell ref="B125:F125"/>
    <mergeCell ref="C59:F59"/>
    <mergeCell ref="C70:F70"/>
    <mergeCell ref="C81:F81"/>
    <mergeCell ref="C92:F92"/>
    <mergeCell ref="C103:F103"/>
    <mergeCell ref="C114:F114"/>
    <mergeCell ref="B1:F1"/>
    <mergeCell ref="C9:F9"/>
    <mergeCell ref="C20:F20"/>
    <mergeCell ref="C26:F26"/>
    <mergeCell ref="C37:F37"/>
    <mergeCell ref="C48:F4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BB3CE-3B87-4262-AD16-48A3D90B1EFB}">
  <sheetPr>
    <tabColor theme="4" tint="0.59999389629810485"/>
  </sheetPr>
  <dimension ref="A1:CO397"/>
  <sheetViews>
    <sheetView showGridLines="0" showZeros="0" zoomScale="85" zoomScaleNormal="85" workbookViewId="0"/>
  </sheetViews>
  <sheetFormatPr defaultRowHeight="12.75" x14ac:dyDescent="0.2"/>
  <cols>
    <col min="1" max="1" width="3" style="1" customWidth="1"/>
    <col min="2" max="2" width="38.42578125" customWidth="1"/>
    <col min="3" max="6" width="13.140625" customWidth="1"/>
    <col min="7" max="7" width="15.85546875" customWidth="1"/>
    <col min="8" max="8" width="1.28515625" style="1" customWidth="1"/>
    <col min="9" max="9" width="14.7109375" style="457" customWidth="1"/>
    <col min="10" max="10" width="1.42578125" style="1" customWidth="1"/>
    <col min="11" max="11" width="9.5703125" style="1" bestFit="1" customWidth="1"/>
    <col min="12" max="93" width="9.140625" style="1"/>
  </cols>
  <sheetData>
    <row r="1" spans="2:12" s="1" customFormat="1" ht="13.5" thickBot="1" x14ac:dyDescent="0.25">
      <c r="I1" s="457"/>
      <c r="K1" s="458"/>
      <c r="L1" s="459" t="s">
        <v>177</v>
      </c>
    </row>
    <row r="2" spans="2:12" s="1" customFormat="1" ht="36.75" thickBot="1" x14ac:dyDescent="0.25">
      <c r="B2" s="460" t="s">
        <v>178</v>
      </c>
      <c r="C2" s="461" t="s">
        <v>179</v>
      </c>
      <c r="D2" s="429" t="s">
        <v>154</v>
      </c>
      <c r="E2" s="429" t="s">
        <v>155</v>
      </c>
      <c r="F2" s="430" t="s">
        <v>156</v>
      </c>
      <c r="J2" s="457"/>
    </row>
    <row r="3" spans="2:12" s="1" customFormat="1" x14ac:dyDescent="0.2">
      <c r="B3" s="462" t="s">
        <v>136</v>
      </c>
      <c r="C3" s="463">
        <f>'ΧΧΔ βάσει τρέχουσας'!F22</f>
        <v>0</v>
      </c>
      <c r="D3" s="434">
        <f>'ΧΧΔ βάσει τρέχουσας'!G22</f>
        <v>0</v>
      </c>
      <c r="E3" s="434">
        <f>'ΧΧΔ βάσει τρέχουσας'!H22</f>
        <v>0</v>
      </c>
      <c r="F3" s="435">
        <f>'ΧΧΔ βάσει τρέχουσας'!I22</f>
        <v>0</v>
      </c>
      <c r="J3" s="457"/>
    </row>
    <row r="4" spans="2:12" s="1" customFormat="1" x14ac:dyDescent="0.2">
      <c r="B4" s="464" t="s">
        <v>137</v>
      </c>
      <c r="C4" s="465">
        <f>'ΧΧΔ βάσει τρέχουσας'!F23</f>
        <v>0.23360334128332053</v>
      </c>
      <c r="D4" s="439">
        <f>'ΧΧΔ βάσει τρέχουσας'!G23</f>
        <v>0.2</v>
      </c>
      <c r="E4" s="439">
        <f>'ΧΧΔ βάσει τρέχουσας'!H23</f>
        <v>0</v>
      </c>
      <c r="F4" s="440">
        <f>'ΧΧΔ βάσει τρέχουσας'!I23</f>
        <v>0.8</v>
      </c>
      <c r="J4" s="457"/>
    </row>
    <row r="5" spans="2:12" s="1" customFormat="1" x14ac:dyDescent="0.2">
      <c r="B5" s="464" t="s">
        <v>138</v>
      </c>
      <c r="C5" s="465">
        <f>'ΧΧΔ βάσει τρέχουσας'!F24</f>
        <v>1.3821254022453537E-2</v>
      </c>
      <c r="D5" s="439">
        <f>'ΧΧΔ βάσει τρέχουσας'!G24</f>
        <v>0.2</v>
      </c>
      <c r="E5" s="439">
        <f>'ΧΧΔ βάσει τρέχουσας'!H24</f>
        <v>0</v>
      </c>
      <c r="F5" s="440">
        <f>'ΧΧΔ βάσει τρέχουσας'!I24</f>
        <v>0.8</v>
      </c>
      <c r="J5" s="457"/>
    </row>
    <row r="6" spans="2:12" s="1" customFormat="1" x14ac:dyDescent="0.2">
      <c r="B6" s="464" t="s">
        <v>139</v>
      </c>
      <c r="C6" s="465">
        <f>'ΧΧΔ βάσει τρέχουσας'!F25</f>
        <v>2.3970923131328606E-2</v>
      </c>
      <c r="D6" s="439">
        <f>'ΧΧΔ βάσει τρέχουσας'!G25</f>
        <v>0.2</v>
      </c>
      <c r="E6" s="439">
        <f>'ΧΧΔ βάσει τρέχουσας'!H25</f>
        <v>0</v>
      </c>
      <c r="F6" s="440">
        <f>'ΧΧΔ βάσει τρέχουσας'!I25</f>
        <v>0.8</v>
      </c>
      <c r="J6" s="457"/>
    </row>
    <row r="7" spans="2:12" s="1" customFormat="1" x14ac:dyDescent="0.2">
      <c r="B7" s="464" t="s">
        <v>140</v>
      </c>
      <c r="C7" s="465">
        <f>'ΧΧΔ βάσει τρέχουσας'!F26</f>
        <v>0.52674676562516509</v>
      </c>
      <c r="D7" s="439">
        <f>'ΧΧΔ βάσει τρέχουσας'!G26</f>
        <v>0.1</v>
      </c>
      <c r="E7" s="439">
        <f>'ΧΧΔ βάσει τρέχουσας'!H26</f>
        <v>0</v>
      </c>
      <c r="F7" s="440">
        <f>'ΧΧΔ βάσει τρέχουσας'!I26</f>
        <v>0.9</v>
      </c>
      <c r="J7" s="457"/>
    </row>
    <row r="8" spans="2:12" s="1" customFormat="1" x14ac:dyDescent="0.2">
      <c r="B8" s="464" t="s">
        <v>141</v>
      </c>
      <c r="C8" s="465">
        <f>'ΧΧΔ βάσει τρέχουσας'!F27</f>
        <v>0</v>
      </c>
      <c r="D8" s="439">
        <f>'ΧΧΔ βάσει τρέχουσας'!G27</f>
        <v>0</v>
      </c>
      <c r="E8" s="439">
        <f>'ΧΧΔ βάσει τρέχουσας'!H27</f>
        <v>0</v>
      </c>
      <c r="F8" s="440">
        <f>'ΧΧΔ βάσει τρέχουσας'!I27</f>
        <v>0</v>
      </c>
      <c r="J8" s="457"/>
    </row>
    <row r="9" spans="2:12" s="1" customFormat="1" ht="13.5" thickBot="1" x14ac:dyDescent="0.25">
      <c r="B9" s="464" t="s">
        <v>142</v>
      </c>
      <c r="C9" s="465">
        <f>'ΧΧΔ βάσει τρέχουσας'!F28</f>
        <v>0.11378349314617457</v>
      </c>
      <c r="D9" s="439">
        <f>'ΧΧΔ βάσει τρέχουσας'!G28</f>
        <v>0.2</v>
      </c>
      <c r="E9" s="439">
        <f>'ΧΧΔ βάσει τρέχουσας'!H28</f>
        <v>0</v>
      </c>
      <c r="F9" s="440">
        <f>'ΧΧΔ βάσει τρέχουσας'!I28</f>
        <v>0.8</v>
      </c>
      <c r="J9" s="457"/>
    </row>
    <row r="10" spans="2:12" s="1" customFormat="1" x14ac:dyDescent="0.2">
      <c r="B10" s="462" t="s">
        <v>143</v>
      </c>
      <c r="C10" s="465">
        <f>'ΧΧΔ βάσει τρέχουσας'!F29</f>
        <v>0</v>
      </c>
      <c r="D10" s="439">
        <f>'ΧΧΔ βάσει τρέχουσας'!G29</f>
        <v>0</v>
      </c>
      <c r="E10" s="439">
        <f>'ΧΧΔ βάσει τρέχουσας'!H29</f>
        <v>0</v>
      </c>
      <c r="F10" s="440">
        <f>'ΧΧΔ βάσει τρέχουσας'!I29</f>
        <v>0</v>
      </c>
      <c r="I10" s="466" t="s">
        <v>180</v>
      </c>
      <c r="J10" s="457"/>
    </row>
    <row r="11" spans="2:12" s="1" customFormat="1" ht="13.5" thickBot="1" x14ac:dyDescent="0.25">
      <c r="B11" s="467" t="s">
        <v>144</v>
      </c>
      <c r="C11" s="468">
        <f>'ΧΧΔ βάσει τρέχουσας'!F30</f>
        <v>8.8074222791557549E-2</v>
      </c>
      <c r="D11" s="445">
        <f>'ΧΧΔ βάσει τρέχουσας'!G30</f>
        <v>0</v>
      </c>
      <c r="E11" s="445">
        <f>'ΧΧΔ βάσει τρέχουσας'!H30</f>
        <v>0.5</v>
      </c>
      <c r="F11" s="446">
        <f>'ΧΧΔ βάσει τρέχουσας'!I30</f>
        <v>0.5</v>
      </c>
      <c r="J11" s="457"/>
    </row>
    <row r="12" spans="2:12" s="1" customFormat="1" ht="14.25" customHeight="1" thickBot="1" x14ac:dyDescent="0.25">
      <c r="I12" s="469" t="s">
        <v>181</v>
      </c>
      <c r="L12" s="470"/>
    </row>
    <row r="13" spans="2:12" s="475" customFormat="1" ht="14.25" customHeight="1" x14ac:dyDescent="0.2">
      <c r="B13" s="471"/>
      <c r="C13" s="471"/>
      <c r="D13" s="472" t="s">
        <v>182</v>
      </c>
      <c r="E13" s="473"/>
      <c r="F13" s="473"/>
      <c r="G13" s="474"/>
      <c r="I13" s="469" t="s">
        <v>183</v>
      </c>
    </row>
    <row r="14" spans="2:12" s="1" customFormat="1" ht="43.9" customHeight="1" x14ac:dyDescent="0.2">
      <c r="B14"/>
      <c r="C14"/>
      <c r="D14" s="476"/>
      <c r="E14" s="477"/>
      <c r="F14" s="478" t="s">
        <v>184</v>
      </c>
      <c r="G14" s="479" t="s">
        <v>12</v>
      </c>
      <c r="I14" s="480" t="s">
        <v>12</v>
      </c>
    </row>
    <row r="15" spans="2:12" s="1" customFormat="1" ht="15" customHeight="1" x14ac:dyDescent="0.2">
      <c r="B15"/>
      <c r="C15"/>
      <c r="D15" s="476"/>
      <c r="E15" s="477"/>
      <c r="F15" s="478" t="s">
        <v>13</v>
      </c>
      <c r="G15" s="481">
        <v>0.10000000000000005</v>
      </c>
      <c r="I15" s="482">
        <v>0.10000000000000005</v>
      </c>
    </row>
    <row r="16" spans="2:12" s="1" customFormat="1" ht="15" customHeight="1" x14ac:dyDescent="0.2">
      <c r="B16"/>
      <c r="C16"/>
      <c r="D16" s="476"/>
      <c r="E16" s="477"/>
      <c r="F16" s="478" t="s">
        <v>14</v>
      </c>
      <c r="G16" s="481">
        <v>1</v>
      </c>
      <c r="I16" s="482">
        <v>1</v>
      </c>
    </row>
    <row r="17" spans="2:9" s="1" customFormat="1" ht="15" customHeight="1" x14ac:dyDescent="0.2">
      <c r="B17"/>
      <c r="C17"/>
      <c r="D17" s="476"/>
      <c r="E17" s="477"/>
      <c r="F17" s="478" t="s">
        <v>15</v>
      </c>
      <c r="G17" s="481">
        <v>1</v>
      </c>
      <c r="I17" s="482">
        <v>1</v>
      </c>
    </row>
    <row r="18" spans="2:9" s="1" customFormat="1" ht="15" customHeight="1" thickBot="1" x14ac:dyDescent="0.25">
      <c r="B18"/>
      <c r="C18" s="484"/>
      <c r="D18" s="485"/>
      <c r="E18" s="486"/>
      <c r="F18" s="487" t="s">
        <v>117</v>
      </c>
      <c r="G18" s="488" t="s">
        <v>18</v>
      </c>
      <c r="I18" s="483" t="s">
        <v>18</v>
      </c>
    </row>
    <row r="19" spans="2:9" s="1" customFormat="1" ht="13.5" thickBot="1" x14ac:dyDescent="0.25">
      <c r="B19" s="489"/>
      <c r="C19" s="489"/>
      <c r="D19" s="489"/>
      <c r="E19" s="489"/>
      <c r="F19" s="489"/>
      <c r="G19" s="489"/>
      <c r="I19" s="490"/>
    </row>
    <row r="20" spans="2:9" s="1" customFormat="1" x14ac:dyDescent="0.2">
      <c r="B20" s="491" t="s">
        <v>185</v>
      </c>
      <c r="C20" s="492"/>
      <c r="D20" s="493" t="s">
        <v>186</v>
      </c>
      <c r="E20" s="494"/>
      <c r="F20" s="494"/>
      <c r="G20" s="495"/>
      <c r="I20" s="457"/>
    </row>
    <row r="21" spans="2:9" s="1" customFormat="1" ht="13.5" thickBot="1" x14ac:dyDescent="0.25">
      <c r="B21" s="496">
        <f>[1]Results_Main!$C$43</f>
        <v>741784817.62</v>
      </c>
      <c r="C21" s="497"/>
      <c r="D21" s="498">
        <v>0.25</v>
      </c>
      <c r="E21" s="499">
        <v>0.5</v>
      </c>
      <c r="F21" s="499">
        <v>1</v>
      </c>
      <c r="G21" s="500">
        <v>1</v>
      </c>
      <c r="I21" s="457"/>
    </row>
    <row r="22" spans="2:9" s="1" customFormat="1" ht="26.25" thickBot="1" x14ac:dyDescent="0.25">
      <c r="B22" s="489"/>
      <c r="C22" s="501" t="s">
        <v>2</v>
      </c>
      <c r="D22" s="502" t="s">
        <v>187</v>
      </c>
      <c r="E22" s="503" t="s">
        <v>188</v>
      </c>
      <c r="F22" s="503" t="s">
        <v>189</v>
      </c>
      <c r="G22" s="504" t="s">
        <v>190</v>
      </c>
      <c r="I22" s="457"/>
    </row>
    <row r="23" spans="2:9" s="1" customFormat="1" ht="13.5" thickBot="1" x14ac:dyDescent="0.25">
      <c r="B23" s="489"/>
      <c r="C23" s="112" t="s">
        <v>19</v>
      </c>
      <c r="D23" s="113"/>
      <c r="E23" s="113"/>
      <c r="F23" s="113"/>
      <c r="G23" s="114"/>
      <c r="I23" s="457"/>
    </row>
    <row r="24" spans="2:9" s="1" customFormat="1" x14ac:dyDescent="0.2">
      <c r="B24" s="505" t="s">
        <v>136</v>
      </c>
      <c r="C24" s="506">
        <f>$B$21*C3</f>
        <v>0</v>
      </c>
      <c r="D24" s="507">
        <f t="shared" ref="D24:G32" si="0">$I24*D$21+$C24*(1-D$21)</f>
        <v>329569.76740574808</v>
      </c>
      <c r="E24" s="507">
        <f t="shared" si="0"/>
        <v>659139.53481149615</v>
      </c>
      <c r="F24" s="507">
        <f t="shared" si="0"/>
        <v>1318279.0696229923</v>
      </c>
      <c r="G24" s="508">
        <f t="shared" si="0"/>
        <v>1318279.0696229923</v>
      </c>
      <c r="I24" s="509">
        <v>1318279.0696229923</v>
      </c>
    </row>
    <row r="25" spans="2:9" s="1" customFormat="1" x14ac:dyDescent="0.2">
      <c r="B25" s="510" t="s">
        <v>137</v>
      </c>
      <c r="C25" s="511">
        <f>$B$21*C4</f>
        <v>173283411.90927052</v>
      </c>
      <c r="D25" s="512">
        <f t="shared" si="0"/>
        <v>169315555.18124476</v>
      </c>
      <c r="E25" s="512">
        <f t="shared" si="0"/>
        <v>165347698.453219</v>
      </c>
      <c r="F25" s="512">
        <f t="shared" si="0"/>
        <v>157411984.9971675</v>
      </c>
      <c r="G25" s="513">
        <f t="shared" si="0"/>
        <v>157411984.9971675</v>
      </c>
      <c r="I25" s="509">
        <v>157411984.9971675</v>
      </c>
    </row>
    <row r="26" spans="2:9" s="1" customFormat="1" x14ac:dyDescent="0.2">
      <c r="B26" s="510" t="s">
        <v>138</v>
      </c>
      <c r="C26" s="511">
        <f>$B$21*C5</f>
        <v>10252396.394325389</v>
      </c>
      <c r="D26" s="512">
        <f t="shared" si="0"/>
        <v>10124114.76572714</v>
      </c>
      <c r="E26" s="512">
        <f t="shared" si="0"/>
        <v>9995833.1371288933</v>
      </c>
      <c r="F26" s="512">
        <f t="shared" si="0"/>
        <v>9739269.8799323961</v>
      </c>
      <c r="G26" s="513">
        <f t="shared" si="0"/>
        <v>9739269.8799323961</v>
      </c>
      <c r="I26" s="509">
        <v>9739269.8799323961</v>
      </c>
    </row>
    <row r="27" spans="2:9" s="1" customFormat="1" x14ac:dyDescent="0.2">
      <c r="B27" s="510" t="s">
        <v>139</v>
      </c>
      <c r="C27" s="511">
        <f>$B$21*C6</f>
        <v>17781266.84315563</v>
      </c>
      <c r="D27" s="512">
        <f t="shared" si="0"/>
        <v>17202634.915562332</v>
      </c>
      <c r="E27" s="512">
        <f t="shared" si="0"/>
        <v>16624002.987969037</v>
      </c>
      <c r="F27" s="512">
        <f t="shared" si="0"/>
        <v>15466739.132782442</v>
      </c>
      <c r="G27" s="513">
        <f t="shared" si="0"/>
        <v>15466739.132782442</v>
      </c>
      <c r="I27" s="509">
        <v>15466739.132782442</v>
      </c>
    </row>
    <row r="28" spans="2:9" s="1" customFormat="1" x14ac:dyDescent="0.2">
      <c r="B28" s="510" t="s">
        <v>140</v>
      </c>
      <c r="C28" s="511">
        <f>$B$21*C7</f>
        <v>390732753.47118795</v>
      </c>
      <c r="D28" s="512">
        <f t="shared" si="0"/>
        <v>397399444.31544125</v>
      </c>
      <c r="E28" s="512">
        <f t="shared" si="0"/>
        <v>404066135.15969455</v>
      </c>
      <c r="F28" s="512">
        <f t="shared" si="0"/>
        <v>417399516.84820116</v>
      </c>
      <c r="G28" s="513">
        <f t="shared" si="0"/>
        <v>417399516.84820116</v>
      </c>
      <c r="I28" s="509">
        <v>417399516.84820116</v>
      </c>
    </row>
    <row r="29" spans="2:9" s="1" customFormat="1" x14ac:dyDescent="0.2">
      <c r="B29" s="510" t="s">
        <v>141</v>
      </c>
      <c r="C29" s="511">
        <f>$B$21*C8</f>
        <v>0</v>
      </c>
      <c r="D29" s="512">
        <f t="shared" si="0"/>
        <v>31825.620709737766</v>
      </c>
      <c r="E29" s="512">
        <f t="shared" si="0"/>
        <v>63651.241419475533</v>
      </c>
      <c r="F29" s="512">
        <f t="shared" si="0"/>
        <v>127302.48283895107</v>
      </c>
      <c r="G29" s="513">
        <f t="shared" si="0"/>
        <v>127302.48283895107</v>
      </c>
      <c r="I29" s="509">
        <v>127302.48283895107</v>
      </c>
    </row>
    <row r="30" spans="2:9" s="1" customFormat="1" ht="13.5" thickBot="1" x14ac:dyDescent="0.25">
      <c r="B30" s="510" t="s">
        <v>142</v>
      </c>
      <c r="C30" s="511">
        <f>$B$21*C9</f>
        <v>84402867.71160163</v>
      </c>
      <c r="D30" s="512">
        <f t="shared" si="0"/>
        <v>81116134.49326098</v>
      </c>
      <c r="E30" s="512">
        <f t="shared" si="0"/>
        <v>77829401.274920315</v>
      </c>
      <c r="F30" s="512">
        <f t="shared" si="0"/>
        <v>71255934.838238984</v>
      </c>
      <c r="G30" s="513">
        <f t="shared" si="0"/>
        <v>71255934.838238984</v>
      </c>
      <c r="I30" s="509">
        <v>71255934.838238984</v>
      </c>
    </row>
    <row r="31" spans="2:9" s="1" customFormat="1" x14ac:dyDescent="0.2">
      <c r="B31" s="505" t="s">
        <v>143</v>
      </c>
      <c r="C31" s="511">
        <f>$B$21*C10</f>
        <v>0</v>
      </c>
      <c r="D31" s="512">
        <f t="shared" si="0"/>
        <v>32533.577989633879</v>
      </c>
      <c r="E31" s="512">
        <f t="shared" si="0"/>
        <v>65067.155979267758</v>
      </c>
      <c r="F31" s="512">
        <f t="shared" si="0"/>
        <v>130134.31195853552</v>
      </c>
      <c r="G31" s="513">
        <f t="shared" si="0"/>
        <v>130134.31195853552</v>
      </c>
      <c r="I31" s="509">
        <v>130134.31195853552</v>
      </c>
    </row>
    <row r="32" spans="2:9" s="1" customFormat="1" ht="13.5" thickBot="1" x14ac:dyDescent="0.25">
      <c r="B32" s="514" t="s">
        <v>144</v>
      </c>
      <c r="C32" s="515">
        <f>$B$21*C11</f>
        <v>65332121.290458761</v>
      </c>
      <c r="D32" s="516">
        <f t="shared" si="0"/>
        <v>66233004.982658304</v>
      </c>
      <c r="E32" s="516">
        <f t="shared" si="0"/>
        <v>67133888.674857855</v>
      </c>
      <c r="F32" s="516">
        <f t="shared" si="0"/>
        <v>68935656.059256941</v>
      </c>
      <c r="G32" s="517">
        <f t="shared" si="0"/>
        <v>68935656.059256941</v>
      </c>
      <c r="I32" s="509">
        <v>68935656.059256941</v>
      </c>
    </row>
    <row r="33" spans="2:9" s="1" customFormat="1" ht="13.5" thickBot="1" x14ac:dyDescent="0.25">
      <c r="B33" s="489"/>
      <c r="C33" s="518">
        <f>SUM(C24:C32)-$B$21</f>
        <v>0</v>
      </c>
      <c r="D33" s="518">
        <f>SUM(D24:D32)-$B$21</f>
        <v>0</v>
      </c>
      <c r="E33" s="518">
        <f>SUM(E24:E32)-$B$21</f>
        <v>0</v>
      </c>
      <c r="F33" s="518">
        <f>SUM(F24:F32)-$B$21</f>
        <v>0</v>
      </c>
      <c r="G33" s="518">
        <f>SUM(G24:G32)-$B$21</f>
        <v>0</v>
      </c>
      <c r="I33" s="490"/>
    </row>
    <row r="34" spans="2:9" s="1" customFormat="1" ht="13.5" thickBot="1" x14ac:dyDescent="0.25">
      <c r="B34" s="489"/>
      <c r="C34" s="112" t="s">
        <v>20</v>
      </c>
      <c r="D34" s="113"/>
      <c r="E34" s="113"/>
      <c r="F34" s="113"/>
      <c r="G34" s="114"/>
      <c r="I34" s="457"/>
    </row>
    <row r="35" spans="2:9" s="1" customFormat="1" x14ac:dyDescent="0.2">
      <c r="B35" s="519" t="s">
        <v>191</v>
      </c>
      <c r="C35" s="520">
        <v>0</v>
      </c>
      <c r="D35" s="521">
        <f>D$82/$B$21</f>
        <v>1.8574177241462746E-2</v>
      </c>
      <c r="E35" s="521">
        <f>E$82/$B$21</f>
        <v>3.7148354482925493E-2</v>
      </c>
      <c r="F35" s="521">
        <f>F$82/$B$21</f>
        <v>7.4296708965850985E-2</v>
      </c>
      <c r="G35" s="522">
        <f>G$82/$B$21</f>
        <v>7.4296708965850985E-2</v>
      </c>
      <c r="I35" s="523">
        <v>7.4296708965850999E-2</v>
      </c>
    </row>
    <row r="36" spans="2:9" s="1" customFormat="1" x14ac:dyDescent="0.2">
      <c r="B36" s="524" t="s">
        <v>192</v>
      </c>
      <c r="C36" s="525">
        <f>SUMPRODUCT(D3:D9,C24:C30)/SUM(C24:C32)</f>
        <v>0.12971047887917198</v>
      </c>
      <c r="D36" s="526">
        <f>D$126/$B$21</f>
        <v>0.24620759604850972</v>
      </c>
      <c r="E36" s="526">
        <f>E$126/$B$21</f>
        <v>0.38546141184708244</v>
      </c>
      <c r="F36" s="526">
        <f>F$126/$B$21</f>
        <v>0.6639690434442278</v>
      </c>
      <c r="G36" s="527">
        <f>G$126/$B$21</f>
        <v>0.6639690434442278</v>
      </c>
      <c r="I36" s="523">
        <v>0.66396904344422791</v>
      </c>
    </row>
    <row r="37" spans="2:9" s="1" customFormat="1" x14ac:dyDescent="0.2">
      <c r="B37" s="524" t="s">
        <v>193</v>
      </c>
      <c r="C37" s="525">
        <f>SUMPRODUCT(E10:E11,C31:C32)/SUM(C24:C32)</f>
        <v>4.4037111395778782E-2</v>
      </c>
      <c r="D37" s="526">
        <f>D$148/$B$21</f>
        <v>9.0528919416240514E-2</v>
      </c>
      <c r="E37" s="526">
        <f>E$148/$B$21</f>
        <v>0.11426402880746735</v>
      </c>
      <c r="F37" s="526">
        <f>F$148/$B$21</f>
        <v>0.16173424758992103</v>
      </c>
      <c r="G37" s="527">
        <f>G$148/$B$21</f>
        <v>0.16173424758992103</v>
      </c>
      <c r="I37" s="523">
        <v>0.16173424758992108</v>
      </c>
    </row>
    <row r="38" spans="2:9" s="1" customFormat="1" ht="13.5" thickBot="1" x14ac:dyDescent="0.25">
      <c r="B38" s="528" t="s">
        <v>194</v>
      </c>
      <c r="C38" s="529">
        <f>SUMPRODUCT(F3:F11,C24:C32)/SUM(C24:C32)</f>
        <v>0.82625240972504921</v>
      </c>
      <c r="D38" s="530">
        <f>D$104/$B$21</f>
        <v>0.64468930729378682</v>
      </c>
      <c r="E38" s="530">
        <f>E$104/$B$21</f>
        <v>0.46312620486252459</v>
      </c>
      <c r="F38" s="530">
        <f>F$104/$B$21</f>
        <v>0.10000000000000003</v>
      </c>
      <c r="G38" s="531">
        <f>G$104/$B$21</f>
        <v>0.10000000000000003</v>
      </c>
      <c r="I38" s="523">
        <v>0.10000000000000005</v>
      </c>
    </row>
    <row r="39" spans="2:9" s="1" customFormat="1" ht="13.5" thickBot="1" x14ac:dyDescent="0.25">
      <c r="B39" s="87"/>
      <c r="C39" s="532">
        <f>SUM(C35:C38)</f>
        <v>1</v>
      </c>
      <c r="D39" s="532">
        <f t="shared" ref="D39:G39" si="1">SUM(D35:D38)</f>
        <v>0.99999999999999978</v>
      </c>
      <c r="E39" s="532">
        <f t="shared" si="1"/>
        <v>0.99999999999999978</v>
      </c>
      <c r="F39" s="532">
        <f t="shared" si="1"/>
        <v>0.99999999999999978</v>
      </c>
      <c r="G39" s="532">
        <f t="shared" si="1"/>
        <v>0.99999999999999978</v>
      </c>
      <c r="I39" s="490"/>
    </row>
    <row r="40" spans="2:9" s="1" customFormat="1" ht="13.5" thickBot="1" x14ac:dyDescent="0.25">
      <c r="B40" s="87"/>
      <c r="C40" s="112" t="s">
        <v>25</v>
      </c>
      <c r="D40" s="113"/>
      <c r="E40" s="113"/>
      <c r="F40" s="113"/>
      <c r="G40" s="114"/>
      <c r="I40" s="457"/>
    </row>
    <row r="41" spans="2:9" s="1" customFormat="1" x14ac:dyDescent="0.2">
      <c r="B41" s="505" t="s">
        <v>136</v>
      </c>
      <c r="C41" s="533">
        <f>C24/[1]Categories!$T6</f>
        <v>0</v>
      </c>
      <c r="D41" s="534">
        <f>D24/[1]Categories!$T6</f>
        <v>0.30383022086715328</v>
      </c>
      <c r="E41" s="534">
        <f>E24/[1]Categories!$T6</f>
        <v>0.60766044173430656</v>
      </c>
      <c r="F41" s="534">
        <f>F24/[1]Categories!$T6</f>
        <v>1.2153208834686131</v>
      </c>
      <c r="G41" s="535">
        <f>G24/[1]Categories!$T6</f>
        <v>1.2153208834686131</v>
      </c>
      <c r="I41" s="536">
        <v>1.2153208834686131</v>
      </c>
    </row>
    <row r="42" spans="2:9" s="1" customFormat="1" x14ac:dyDescent="0.2">
      <c r="B42" s="510" t="s">
        <v>137</v>
      </c>
      <c r="C42" s="537">
        <f>C25/[1]Categories!$T7</f>
        <v>22.177349975607132</v>
      </c>
      <c r="D42" s="538">
        <f>D25/[1]Categories!$T7</f>
        <v>21.669531331335694</v>
      </c>
      <c r="E42" s="538">
        <f>E25/[1]Categories!$T7</f>
        <v>21.161712687064259</v>
      </c>
      <c r="F42" s="538">
        <f>F25/[1]Categories!$T7</f>
        <v>20.146075398521386</v>
      </c>
      <c r="G42" s="539">
        <f>G25/[1]Categories!$T7</f>
        <v>20.146075398521386</v>
      </c>
      <c r="I42" s="536">
        <v>20.146075398521386</v>
      </c>
    </row>
    <row r="43" spans="2:9" s="1" customFormat="1" x14ac:dyDescent="0.2">
      <c r="B43" s="510" t="s">
        <v>138</v>
      </c>
      <c r="C43" s="537">
        <f>C26/[1]Categories!$T8</f>
        <v>22.177349975607132</v>
      </c>
      <c r="D43" s="538">
        <f>D26/[1]Categories!$T8</f>
        <v>21.899859088263089</v>
      </c>
      <c r="E43" s="538">
        <f>E26/[1]Categories!$T8</f>
        <v>21.622368200919052</v>
      </c>
      <c r="F43" s="538">
        <f>F26/[1]Categories!$T8</f>
        <v>21.067386426230968</v>
      </c>
      <c r="G43" s="539">
        <f>G26/[1]Categories!$T8</f>
        <v>21.067386426230968</v>
      </c>
      <c r="I43" s="536">
        <v>21.067386426230968</v>
      </c>
    </row>
    <row r="44" spans="2:9" s="1" customFormat="1" x14ac:dyDescent="0.2">
      <c r="B44" s="510" t="s">
        <v>139</v>
      </c>
      <c r="C44" s="537">
        <f>C27/[1]Categories!$T9</f>
        <v>22.177349975607129</v>
      </c>
      <c r="D44" s="538">
        <f>D27/[1]Categories!$T9</f>
        <v>21.45566220844805</v>
      </c>
      <c r="E44" s="538">
        <f>E27/[1]Categories!$T9</f>
        <v>20.733974441288975</v>
      </c>
      <c r="F44" s="538">
        <f>F27/[1]Categories!$T9</f>
        <v>19.290598906970821</v>
      </c>
      <c r="G44" s="539">
        <f>G27/[1]Categories!$T9</f>
        <v>19.290598906970821</v>
      </c>
      <c r="I44" s="536">
        <v>19.290598906970821</v>
      </c>
    </row>
    <row r="45" spans="2:9" s="1" customFormat="1" x14ac:dyDescent="0.2">
      <c r="B45" s="510" t="s">
        <v>140</v>
      </c>
      <c r="C45" s="537">
        <f>C28/[1]Categories!$T10</f>
        <v>22.177349975607125</v>
      </c>
      <c r="D45" s="538">
        <f>D28/[1]Categories!$T10</f>
        <v>22.55574040926982</v>
      </c>
      <c r="E45" s="538">
        <f>E28/[1]Categories!$T10</f>
        <v>22.934130842932515</v>
      </c>
      <c r="F45" s="538">
        <f>F28/[1]Categories!$T10</f>
        <v>23.6909117102579</v>
      </c>
      <c r="G45" s="539">
        <f>G28/[1]Categories!$T10</f>
        <v>23.6909117102579</v>
      </c>
      <c r="I45" s="536">
        <v>23.6909117102579</v>
      </c>
    </row>
    <row r="46" spans="2:9" s="1" customFormat="1" x14ac:dyDescent="0.2">
      <c r="B46" s="510" t="s">
        <v>141</v>
      </c>
      <c r="C46" s="537">
        <f>C29/[1]Categories!$T11</f>
        <v>0</v>
      </c>
      <c r="D46" s="538">
        <f>D29/[1]Categories!$T11</f>
        <v>3.9130470776966436E-2</v>
      </c>
      <c r="E46" s="538">
        <f>E29/[1]Categories!$T11</f>
        <v>7.8260941553932872E-2</v>
      </c>
      <c r="F46" s="538">
        <f>F29/[1]Categories!$T11</f>
        <v>0.15652188310786574</v>
      </c>
      <c r="G46" s="539">
        <f>G29/[1]Categories!$T11</f>
        <v>0.15652188310786574</v>
      </c>
      <c r="I46" s="536">
        <v>0.15652188310786574</v>
      </c>
    </row>
    <row r="47" spans="2:9" s="1" customFormat="1" ht="13.5" thickBot="1" x14ac:dyDescent="0.25">
      <c r="B47" s="510" t="s">
        <v>142</v>
      </c>
      <c r="C47" s="537">
        <f>C30/[1]Categories!$T12</f>
        <v>22.177349975607129</v>
      </c>
      <c r="D47" s="538">
        <f>D30/[1]Categories!$T12</f>
        <v>21.313741488882989</v>
      </c>
      <c r="E47" s="538">
        <f>E30/[1]Categories!$T12</f>
        <v>20.450133002158843</v>
      </c>
      <c r="F47" s="538">
        <f>F30/[1]Categories!$T12</f>
        <v>18.722916028710554</v>
      </c>
      <c r="G47" s="539">
        <f>G30/[1]Categories!$T12</f>
        <v>18.722916028710554</v>
      </c>
      <c r="I47" s="536">
        <v>18.722916028710554</v>
      </c>
    </row>
    <row r="48" spans="2:9" s="1" customFormat="1" x14ac:dyDescent="0.2">
      <c r="B48" s="505" t="s">
        <v>143</v>
      </c>
      <c r="C48" s="537">
        <f>C31/[1]Categories!$T13</f>
        <v>0</v>
      </c>
      <c r="D48" s="538">
        <f>D31/[1]Categories!$T13</f>
        <v>8.2818606597369046E-2</v>
      </c>
      <c r="E48" s="538">
        <f>E31/[1]Categories!$T13</f>
        <v>0.16563721319473809</v>
      </c>
      <c r="F48" s="538">
        <f>F31/[1]Categories!$T13</f>
        <v>0.33127442638947618</v>
      </c>
      <c r="G48" s="539">
        <f>G31/[1]Categories!$T13</f>
        <v>0.33127442638947618</v>
      </c>
      <c r="I48" s="536">
        <v>0.33127442638947618</v>
      </c>
    </row>
    <row r="49" spans="2:9" s="1" customFormat="1" ht="13.5" thickBot="1" x14ac:dyDescent="0.25">
      <c r="B49" s="514" t="s">
        <v>144</v>
      </c>
      <c r="C49" s="540">
        <f>C32/[1]Categories!$T14</f>
        <v>6.1592410777092255</v>
      </c>
      <c r="D49" s="541">
        <f>D32/[1]Categories!$T14</f>
        <v>6.2441726509328266</v>
      </c>
      <c r="E49" s="541">
        <f>E32/[1]Categories!$T14</f>
        <v>6.3291042241564286</v>
      </c>
      <c r="F49" s="541">
        <f>F32/[1]Categories!$T14</f>
        <v>6.4989673706036299</v>
      </c>
      <c r="G49" s="542">
        <f>G32/[1]Categories!$T14</f>
        <v>6.4989673706036299</v>
      </c>
      <c r="I49" s="536">
        <v>6.4989673706036299</v>
      </c>
    </row>
    <row r="50" spans="2:9" s="1" customFormat="1" ht="13.5" thickBot="1" x14ac:dyDescent="0.25">
      <c r="I50" s="490"/>
    </row>
    <row r="51" spans="2:9" s="1" customFormat="1" ht="13.5" thickBot="1" x14ac:dyDescent="0.25">
      <c r="C51" s="112" t="s">
        <v>26</v>
      </c>
      <c r="D51" s="113"/>
      <c r="E51" s="113"/>
      <c r="F51" s="113"/>
      <c r="G51" s="114"/>
      <c r="I51" s="457"/>
    </row>
    <row r="52" spans="2:9" s="1" customFormat="1" x14ac:dyDescent="0.2">
      <c r="B52" s="505" t="s">
        <v>136</v>
      </c>
      <c r="C52" s="543">
        <f>C24/[1]Categories!$V6</f>
        <v>0</v>
      </c>
      <c r="D52" s="544">
        <f>D24/[1]Categories!$V6</f>
        <v>1.7494294585387955</v>
      </c>
      <c r="E52" s="544">
        <f>E24/[1]Categories!$V6</f>
        <v>3.498858917077591</v>
      </c>
      <c r="F52" s="544">
        <f>F24/[1]Categories!$V6</f>
        <v>6.997717834155182</v>
      </c>
      <c r="G52" s="545">
        <f>G24/[1]Categories!$V6</f>
        <v>6.997717834155182</v>
      </c>
      <c r="I52" s="546">
        <v>6.997717834155182</v>
      </c>
    </row>
    <row r="53" spans="2:9" s="1" customFormat="1" x14ac:dyDescent="0.2">
      <c r="B53" s="510" t="s">
        <v>137</v>
      </c>
      <c r="C53" s="547">
        <f>C25/[1]Categories!$V7</f>
        <v>134.88711903917434</v>
      </c>
      <c r="D53" s="548">
        <f>D25/[1]Categories!$V7</f>
        <v>131.79846354176394</v>
      </c>
      <c r="E53" s="548">
        <f>E25/[1]Categories!$V7</f>
        <v>128.70980804435354</v>
      </c>
      <c r="F53" s="548">
        <f>F25/[1]Categories!$V7</f>
        <v>122.53249704953275</v>
      </c>
      <c r="G53" s="549">
        <f>G25/[1]Categories!$V7</f>
        <v>122.53249704953275</v>
      </c>
      <c r="I53" s="546">
        <v>122.53249704953275</v>
      </c>
    </row>
    <row r="54" spans="2:9" s="1" customFormat="1" x14ac:dyDescent="0.2">
      <c r="B54" s="510" t="s">
        <v>138</v>
      </c>
      <c r="C54" s="547">
        <f>C26/[1]Categories!$V8</f>
        <v>223.6414805821039</v>
      </c>
      <c r="D54" s="548">
        <f>D26/[1]Categories!$V8</f>
        <v>220.84319886846717</v>
      </c>
      <c r="E54" s="548">
        <f>E26/[1]Categories!$V8</f>
        <v>218.04491715483047</v>
      </c>
      <c r="F54" s="548">
        <f>F26/[1]Categories!$V8</f>
        <v>212.44835372755702</v>
      </c>
      <c r="G54" s="549">
        <f>G26/[1]Categories!$V8</f>
        <v>212.44835372755702</v>
      </c>
      <c r="I54" s="546">
        <v>212.44835372755702</v>
      </c>
    </row>
    <row r="55" spans="2:9" s="1" customFormat="1" x14ac:dyDescent="0.2">
      <c r="B55" s="510" t="s">
        <v>139</v>
      </c>
      <c r="C55" s="547">
        <f>C27/[1]Categories!$V9</f>
        <v>185.45914915105428</v>
      </c>
      <c r="D55" s="548">
        <f>D27/[1]Categories!$V9</f>
        <v>179.42400070467716</v>
      </c>
      <c r="E55" s="548">
        <f>E27/[1]Categories!$V9</f>
        <v>173.38885225830009</v>
      </c>
      <c r="F55" s="548">
        <f>F27/[1]Categories!$V9</f>
        <v>161.31855536554588</v>
      </c>
      <c r="G55" s="549">
        <f>G27/[1]Categories!$V9</f>
        <v>161.31855536554588</v>
      </c>
      <c r="I55" s="546">
        <v>161.31855536554588</v>
      </c>
    </row>
    <row r="56" spans="2:9" s="1" customFormat="1" x14ac:dyDescent="0.2">
      <c r="B56" s="510" t="s">
        <v>140</v>
      </c>
      <c r="C56" s="547">
        <f>C28/[1]Categories!$V10</f>
        <v>67.445429530472424</v>
      </c>
      <c r="D56" s="548">
        <f>D28/[1]Categories!$V10</f>
        <v>68.596184934372005</v>
      </c>
      <c r="E56" s="548">
        <f>E28/[1]Categories!$V10</f>
        <v>69.746940338271585</v>
      </c>
      <c r="F56" s="548">
        <f>F28/[1]Categories!$V10</f>
        <v>72.048451146070747</v>
      </c>
      <c r="G56" s="549">
        <f>G28/[1]Categories!$V10</f>
        <v>72.048451146070747</v>
      </c>
      <c r="I56" s="546">
        <v>72.048451146070747</v>
      </c>
    </row>
    <row r="57" spans="2:9" s="1" customFormat="1" x14ac:dyDescent="0.2">
      <c r="B57" s="510" t="s">
        <v>141</v>
      </c>
      <c r="C57" s="547">
        <f>C29/[1]Categories!$V11</f>
        <v>0</v>
      </c>
      <c r="D57" s="548">
        <f>D29/[1]Categories!$V11</f>
        <v>1.7494294585387955</v>
      </c>
      <c r="E57" s="548">
        <f>E29/[1]Categories!$V11</f>
        <v>3.498858917077591</v>
      </c>
      <c r="F57" s="548">
        <f>F29/[1]Categories!$V11</f>
        <v>6.997717834155182</v>
      </c>
      <c r="G57" s="549">
        <f>G29/[1]Categories!$V11</f>
        <v>6.997717834155182</v>
      </c>
      <c r="I57" s="546">
        <v>6.997717834155182</v>
      </c>
    </row>
    <row r="58" spans="2:9" s="1" customFormat="1" ht="13.5" thickBot="1" x14ac:dyDescent="0.25">
      <c r="B58" s="510" t="s">
        <v>142</v>
      </c>
      <c r="C58" s="547">
        <f>C30/[1]Categories!$V12</f>
        <v>2179.3195721965872</v>
      </c>
      <c r="D58" s="548">
        <f>D30/[1]Categories!$V12</f>
        <v>2094.4546591252288</v>
      </c>
      <c r="E58" s="548">
        <f>E30/[1]Categories!$V12</f>
        <v>2009.5897460538695</v>
      </c>
      <c r="F58" s="548">
        <f>F30/[1]Categories!$V12</f>
        <v>1839.8599199111513</v>
      </c>
      <c r="G58" s="549">
        <f>G30/[1]Categories!$V12</f>
        <v>1839.8599199111513</v>
      </c>
      <c r="I58" s="546">
        <v>1839.8599199111513</v>
      </c>
    </row>
    <row r="59" spans="2:9" s="1" customFormat="1" x14ac:dyDescent="0.2">
      <c r="B59" s="505" t="s">
        <v>143</v>
      </c>
      <c r="C59" s="547">
        <f>C31/[1]Categories!$V13</f>
        <v>0</v>
      </c>
      <c r="D59" s="548">
        <f>D31/[1]Categories!$V13</f>
        <v>61.153342085777965</v>
      </c>
      <c r="E59" s="548">
        <f>E31/[1]Categories!$V13</f>
        <v>122.30668417155593</v>
      </c>
      <c r="F59" s="548">
        <f>F31/[1]Categories!$V13</f>
        <v>244.61336834311186</v>
      </c>
      <c r="G59" s="549">
        <f>G31/[1]Categories!$V13</f>
        <v>244.61336834311186</v>
      </c>
      <c r="I59" s="546">
        <v>244.61336834311186</v>
      </c>
    </row>
    <row r="60" spans="2:9" s="1" customFormat="1" ht="13.5" thickBot="1" x14ac:dyDescent="0.25">
      <c r="B60" s="514" t="s">
        <v>144</v>
      </c>
      <c r="C60" s="550">
        <f>C32/[1]Categories!$V14</f>
        <v>5823.865331650808</v>
      </c>
      <c r="D60" s="551">
        <f>D32/[1]Categories!$V14</f>
        <v>5904.1723108092619</v>
      </c>
      <c r="E60" s="551">
        <f>E32/[1]Categories!$V14</f>
        <v>5984.4792899677177</v>
      </c>
      <c r="F60" s="551">
        <f>F32/[1]Categories!$V14</f>
        <v>6145.0932482846265</v>
      </c>
      <c r="G60" s="552">
        <f>G32/[1]Categories!$V14</f>
        <v>6145.0932482846265</v>
      </c>
      <c r="I60" s="546">
        <v>6145.0932482846265</v>
      </c>
    </row>
    <row r="61" spans="2:9" s="1" customFormat="1" ht="13.5" thickBot="1" x14ac:dyDescent="0.25">
      <c r="I61" s="490"/>
    </row>
    <row r="62" spans="2:9" s="1" customFormat="1" ht="13.5" thickBot="1" x14ac:dyDescent="0.25">
      <c r="C62" s="112" t="s">
        <v>29</v>
      </c>
      <c r="D62" s="113"/>
      <c r="E62" s="113"/>
      <c r="F62" s="113"/>
      <c r="G62" s="114"/>
      <c r="I62" s="457"/>
    </row>
    <row r="63" spans="2:9" s="1" customFormat="1" x14ac:dyDescent="0.2">
      <c r="B63" s="505" t="s">
        <v>136</v>
      </c>
      <c r="C63" s="553"/>
      <c r="D63" s="544">
        <f t="shared" ref="D63:G71" si="2">$I63*D$21</f>
        <v>1.7494294585387955</v>
      </c>
      <c r="E63" s="544">
        <f t="shared" si="2"/>
        <v>3.498858917077591</v>
      </c>
      <c r="F63" s="544">
        <f t="shared" si="2"/>
        <v>6.997717834155182</v>
      </c>
      <c r="G63" s="545">
        <f t="shared" si="2"/>
        <v>6.997717834155182</v>
      </c>
      <c r="I63" s="546">
        <v>6.997717834155182</v>
      </c>
    </row>
    <row r="64" spans="2:9" s="1" customFormat="1" x14ac:dyDescent="0.2">
      <c r="B64" s="510" t="s">
        <v>137</v>
      </c>
      <c r="C64" s="554"/>
      <c r="D64" s="548">
        <f t="shared" si="2"/>
        <v>1.7494294585387953</v>
      </c>
      <c r="E64" s="548">
        <f t="shared" si="2"/>
        <v>3.4988589170775906</v>
      </c>
      <c r="F64" s="548">
        <f t="shared" si="2"/>
        <v>6.9977178341551811</v>
      </c>
      <c r="G64" s="549">
        <f t="shared" si="2"/>
        <v>6.9977178341551811</v>
      </c>
      <c r="I64" s="546">
        <v>6.9977178341551811</v>
      </c>
    </row>
    <row r="65" spans="2:9" s="1" customFormat="1" x14ac:dyDescent="0.2">
      <c r="B65" s="510" t="s">
        <v>138</v>
      </c>
      <c r="C65" s="554"/>
      <c r="D65" s="548">
        <f t="shared" si="2"/>
        <v>1.7494294585387953</v>
      </c>
      <c r="E65" s="548">
        <f t="shared" si="2"/>
        <v>3.4988589170775906</v>
      </c>
      <c r="F65" s="548">
        <f t="shared" si="2"/>
        <v>6.9977178341551811</v>
      </c>
      <c r="G65" s="549">
        <f t="shared" si="2"/>
        <v>6.9977178341551811</v>
      </c>
      <c r="I65" s="546">
        <v>6.9977178341551811</v>
      </c>
    </row>
    <row r="66" spans="2:9" s="1" customFormat="1" x14ac:dyDescent="0.2">
      <c r="B66" s="510" t="s">
        <v>139</v>
      </c>
      <c r="C66" s="554"/>
      <c r="D66" s="548">
        <f t="shared" si="2"/>
        <v>1.7494294585387955</v>
      </c>
      <c r="E66" s="548">
        <f t="shared" si="2"/>
        <v>3.498858917077591</v>
      </c>
      <c r="F66" s="548">
        <f t="shared" si="2"/>
        <v>6.997717834155182</v>
      </c>
      <c r="G66" s="549">
        <f t="shared" si="2"/>
        <v>6.997717834155182</v>
      </c>
      <c r="I66" s="546">
        <v>6.997717834155182</v>
      </c>
    </row>
    <row r="67" spans="2:9" s="1" customFormat="1" x14ac:dyDescent="0.2">
      <c r="B67" s="510" t="s">
        <v>140</v>
      </c>
      <c r="C67" s="554"/>
      <c r="D67" s="548">
        <f t="shared" si="2"/>
        <v>1.7494294585387955</v>
      </c>
      <c r="E67" s="548">
        <f t="shared" si="2"/>
        <v>3.498858917077591</v>
      </c>
      <c r="F67" s="548">
        <f t="shared" si="2"/>
        <v>6.997717834155182</v>
      </c>
      <c r="G67" s="549">
        <f t="shared" si="2"/>
        <v>6.997717834155182</v>
      </c>
      <c r="I67" s="546">
        <v>6.997717834155182</v>
      </c>
    </row>
    <row r="68" spans="2:9" s="1" customFormat="1" x14ac:dyDescent="0.2">
      <c r="B68" s="510" t="s">
        <v>141</v>
      </c>
      <c r="C68" s="554"/>
      <c r="D68" s="548">
        <f t="shared" si="2"/>
        <v>1.7494294585387955</v>
      </c>
      <c r="E68" s="548">
        <f t="shared" si="2"/>
        <v>3.498858917077591</v>
      </c>
      <c r="F68" s="548">
        <f t="shared" si="2"/>
        <v>6.997717834155182</v>
      </c>
      <c r="G68" s="549">
        <f t="shared" si="2"/>
        <v>6.997717834155182</v>
      </c>
      <c r="I68" s="546">
        <v>6.997717834155182</v>
      </c>
    </row>
    <row r="69" spans="2:9" s="1" customFormat="1" ht="13.5" thickBot="1" x14ac:dyDescent="0.25">
      <c r="B69" s="510" t="s">
        <v>142</v>
      </c>
      <c r="C69" s="554"/>
      <c r="D69" s="548">
        <f t="shared" si="2"/>
        <v>1.7494294585387955</v>
      </c>
      <c r="E69" s="548">
        <f t="shared" si="2"/>
        <v>3.498858917077591</v>
      </c>
      <c r="F69" s="548">
        <f t="shared" si="2"/>
        <v>6.997717834155182</v>
      </c>
      <c r="G69" s="549">
        <f t="shared" si="2"/>
        <v>6.997717834155182</v>
      </c>
      <c r="I69" s="546">
        <v>6.997717834155182</v>
      </c>
    </row>
    <row r="70" spans="2:9" s="1" customFormat="1" x14ac:dyDescent="0.2">
      <c r="B70" s="505" t="s">
        <v>143</v>
      </c>
      <c r="C70" s="554"/>
      <c r="D70" s="548">
        <f t="shared" si="2"/>
        <v>61.153342085777965</v>
      </c>
      <c r="E70" s="548">
        <f t="shared" si="2"/>
        <v>122.30668417155593</v>
      </c>
      <c r="F70" s="548">
        <f t="shared" si="2"/>
        <v>244.61336834311186</v>
      </c>
      <c r="G70" s="549">
        <f t="shared" si="2"/>
        <v>244.61336834311186</v>
      </c>
      <c r="I70" s="546">
        <v>244.61336834311186</v>
      </c>
    </row>
    <row r="71" spans="2:9" s="1" customFormat="1" ht="13.5" thickBot="1" x14ac:dyDescent="0.25">
      <c r="B71" s="514" t="s">
        <v>144</v>
      </c>
      <c r="C71" s="555"/>
      <c r="D71" s="551">
        <f t="shared" si="2"/>
        <v>61.153342085777972</v>
      </c>
      <c r="E71" s="551">
        <f t="shared" si="2"/>
        <v>122.30668417155594</v>
      </c>
      <c r="F71" s="551">
        <f t="shared" si="2"/>
        <v>244.61336834311189</v>
      </c>
      <c r="G71" s="552">
        <f t="shared" si="2"/>
        <v>244.61336834311189</v>
      </c>
      <c r="I71" s="546">
        <v>244.61336834311189</v>
      </c>
    </row>
    <row r="72" spans="2:9" s="1" customFormat="1" ht="13.5" thickBot="1" x14ac:dyDescent="0.25">
      <c r="C72" s="112" t="s">
        <v>195</v>
      </c>
      <c r="D72" s="113"/>
      <c r="E72" s="113"/>
      <c r="F72" s="113"/>
      <c r="G72" s="114"/>
      <c r="I72" s="490"/>
    </row>
    <row r="73" spans="2:9" s="1" customFormat="1" x14ac:dyDescent="0.2">
      <c r="B73" s="505" t="s">
        <v>136</v>
      </c>
      <c r="C73" s="556"/>
      <c r="D73" s="507">
        <f>D63*[1]Categories!$V6</f>
        <v>329569.76740574808</v>
      </c>
      <c r="E73" s="507">
        <f>E63*[1]Categories!$V6</f>
        <v>659139.53481149615</v>
      </c>
      <c r="F73" s="507">
        <f>F63*[1]Categories!$V6</f>
        <v>1318279.0696229923</v>
      </c>
      <c r="G73" s="508">
        <f>G63*[1]Categories!$V6</f>
        <v>1318279.0696229923</v>
      </c>
      <c r="I73" s="509">
        <v>1318279.0696229923</v>
      </c>
    </row>
    <row r="74" spans="2:9" s="1" customFormat="1" x14ac:dyDescent="0.2">
      <c r="B74" s="510" t="s">
        <v>137</v>
      </c>
      <c r="C74" s="557"/>
      <c r="D74" s="512">
        <f>D64*[1]Categories!$V7</f>
        <v>2247413.3010591562</v>
      </c>
      <c r="E74" s="512">
        <f>E64*[1]Categories!$V7</f>
        <v>4494826.6021183124</v>
      </c>
      <c r="F74" s="512">
        <f>F64*[1]Categories!$V7</f>
        <v>8989653.2042366248</v>
      </c>
      <c r="G74" s="513">
        <f>G64*[1]Categories!$V7</f>
        <v>8989653.2042366248</v>
      </c>
      <c r="I74" s="509">
        <v>8989653.2042366248</v>
      </c>
    </row>
    <row r="75" spans="2:9" s="1" customFormat="1" x14ac:dyDescent="0.2">
      <c r="B75" s="510" t="s">
        <v>138</v>
      </c>
      <c r="C75" s="557"/>
      <c r="D75" s="512">
        <f>D65*[1]Categories!$V8</f>
        <v>80199.094667793994</v>
      </c>
      <c r="E75" s="512">
        <f>E65*[1]Categories!$V8</f>
        <v>160398.18933558799</v>
      </c>
      <c r="F75" s="512">
        <f>F65*[1]Categories!$V8</f>
        <v>320796.37867117597</v>
      </c>
      <c r="G75" s="513">
        <f>G65*[1]Categories!$V8</f>
        <v>320796.37867117597</v>
      </c>
      <c r="I75" s="509">
        <v>320796.37867117597</v>
      </c>
    </row>
    <row r="76" spans="2:9" s="1" customFormat="1" x14ac:dyDescent="0.2">
      <c r="B76" s="510" t="s">
        <v>139</v>
      </c>
      <c r="C76" s="557"/>
      <c r="D76" s="512">
        <f>D66*[1]Categories!$V9</f>
        <v>167730.04819632409</v>
      </c>
      <c r="E76" s="512">
        <f>E66*[1]Categories!$V9</f>
        <v>335460.09639264818</v>
      </c>
      <c r="F76" s="512">
        <f>F66*[1]Categories!$V9</f>
        <v>670920.19278529636</v>
      </c>
      <c r="G76" s="513">
        <f>G66*[1]Categories!$V9</f>
        <v>670920.19278529636</v>
      </c>
      <c r="I76" s="509">
        <v>670920.19278529636</v>
      </c>
    </row>
    <row r="77" spans="2:9" s="1" customFormat="1" x14ac:dyDescent="0.2">
      <c r="B77" s="510" t="s">
        <v>140</v>
      </c>
      <c r="C77" s="557"/>
      <c r="D77" s="512">
        <f>D67*[1]Categories!$V10</f>
        <v>10134999.422453599</v>
      </c>
      <c r="E77" s="512">
        <f>E67*[1]Categories!$V10</f>
        <v>20269998.844907198</v>
      </c>
      <c r="F77" s="512">
        <f>F67*[1]Categories!$V10</f>
        <v>40539997.689814396</v>
      </c>
      <c r="G77" s="513">
        <f>G67*[1]Categories!$V10</f>
        <v>40539997.689814396</v>
      </c>
      <c r="I77" s="509">
        <v>40539997.689814396</v>
      </c>
    </row>
    <row r="78" spans="2:9" s="1" customFormat="1" x14ac:dyDescent="0.2">
      <c r="B78" s="510" t="s">
        <v>141</v>
      </c>
      <c r="C78" s="557"/>
      <c r="D78" s="512">
        <f>D68*[1]Categories!$V11</f>
        <v>31825.620709737766</v>
      </c>
      <c r="E78" s="512">
        <f>E68*[1]Categories!$V11</f>
        <v>63651.241419475533</v>
      </c>
      <c r="F78" s="512">
        <f>F68*[1]Categories!$V11</f>
        <v>127302.48283895107</v>
      </c>
      <c r="G78" s="513">
        <f>G68*[1]Categories!$V11</f>
        <v>127302.48283895107</v>
      </c>
      <c r="I78" s="509">
        <v>127302.48283895107</v>
      </c>
    </row>
    <row r="79" spans="2:9" s="1" customFormat="1" ht="13.5" thickBot="1" x14ac:dyDescent="0.25">
      <c r="B79" s="510" t="s">
        <v>142</v>
      </c>
      <c r="C79" s="557"/>
      <c r="D79" s="512">
        <f>D69*[1]Categories!$V12</f>
        <v>67753.653499749009</v>
      </c>
      <c r="E79" s="512">
        <f>E69*[1]Categories!$V12</f>
        <v>135507.30699949802</v>
      </c>
      <c r="F79" s="512">
        <f>F69*[1]Categories!$V12</f>
        <v>271014.61399899604</v>
      </c>
      <c r="G79" s="513">
        <f>G69*[1]Categories!$V12</f>
        <v>271014.61399899604</v>
      </c>
      <c r="I79" s="509">
        <v>271014.61399899604</v>
      </c>
    </row>
    <row r="80" spans="2:9" s="1" customFormat="1" x14ac:dyDescent="0.2">
      <c r="B80" s="505" t="s">
        <v>143</v>
      </c>
      <c r="C80" s="557"/>
      <c r="D80" s="512">
        <f>D70*[1]Categories!$V13</f>
        <v>32533.577989633875</v>
      </c>
      <c r="E80" s="512">
        <f>E70*[1]Categories!$V13</f>
        <v>65067.155979267751</v>
      </c>
      <c r="F80" s="512">
        <f>F70*[1]Categories!$V13</f>
        <v>130134.3119585355</v>
      </c>
      <c r="G80" s="513">
        <f>G70*[1]Categories!$V13</f>
        <v>130134.3119585355</v>
      </c>
      <c r="I80" s="509">
        <v>130134.31195853552</v>
      </c>
    </row>
    <row r="81" spans="2:14" s="1" customFormat="1" ht="13.5" thickBot="1" x14ac:dyDescent="0.25">
      <c r="B81" s="514" t="s">
        <v>144</v>
      </c>
      <c r="C81" s="558"/>
      <c r="D81" s="516">
        <f>D71*[1]Categories!$V14</f>
        <v>686018.19151825726</v>
      </c>
      <c r="E81" s="516">
        <f>E71*[1]Categories!$V14</f>
        <v>1372036.3830365145</v>
      </c>
      <c r="F81" s="516">
        <f>F71*[1]Categories!$V14</f>
        <v>2744072.766073029</v>
      </c>
      <c r="G81" s="517">
        <f>G71*[1]Categories!$V14</f>
        <v>2744072.766073029</v>
      </c>
      <c r="I81" s="509">
        <v>2744072.766073029</v>
      </c>
    </row>
    <row r="82" spans="2:14" s="1" customFormat="1" x14ac:dyDescent="0.2">
      <c r="C82" s="559"/>
      <c r="D82" s="559">
        <f>SUM(D73:D81)</f>
        <v>13778042.677499998</v>
      </c>
      <c r="E82" s="559">
        <f t="shared" ref="E82:G82" si="3">SUM(E73:E81)</f>
        <v>27556085.354999997</v>
      </c>
      <c r="F82" s="559">
        <f t="shared" si="3"/>
        <v>55112170.709999993</v>
      </c>
      <c r="G82" s="559">
        <f t="shared" si="3"/>
        <v>55112170.709999993</v>
      </c>
      <c r="I82" s="560">
        <v>55112170.709999993</v>
      </c>
    </row>
    <row r="83" spans="2:14" s="1" customFormat="1" ht="13.5" thickBot="1" x14ac:dyDescent="0.25">
      <c r="C83" s="559"/>
      <c r="D83" s="559"/>
      <c r="E83" s="559"/>
      <c r="F83" s="559"/>
      <c r="G83" s="559"/>
      <c r="I83" s="561"/>
    </row>
    <row r="84" spans="2:14" s="1" customFormat="1" ht="13.5" thickBot="1" x14ac:dyDescent="0.25">
      <c r="C84" s="112" t="s">
        <v>30</v>
      </c>
      <c r="D84" s="113"/>
      <c r="E84" s="113"/>
      <c r="F84" s="113"/>
      <c r="G84" s="114"/>
      <c r="I84" s="457"/>
    </row>
    <row r="85" spans="2:14" s="1" customFormat="1" x14ac:dyDescent="0.2">
      <c r="B85" s="505" t="s">
        <v>136</v>
      </c>
      <c r="C85" s="562">
        <f>'ΧΧΔ βάσει τρέχουσας'!M22</f>
        <v>0</v>
      </c>
      <c r="D85" s="563">
        <f t="shared" ref="D85:G93" si="4">$I85*D$21+$C85*(1-D$21)</f>
        <v>0</v>
      </c>
      <c r="E85" s="563">
        <f t="shared" si="4"/>
        <v>0</v>
      </c>
      <c r="F85" s="563">
        <f t="shared" si="4"/>
        <v>0</v>
      </c>
      <c r="G85" s="564">
        <f t="shared" si="4"/>
        <v>0</v>
      </c>
      <c r="I85" s="565">
        <v>0</v>
      </c>
    </row>
    <row r="86" spans="2:14" s="1" customFormat="1" x14ac:dyDescent="0.2">
      <c r="B86" s="510" t="s">
        <v>137</v>
      </c>
      <c r="C86" s="566">
        <f>'ΧΧΔ βάσει τρέχουσας'!M23</f>
        <v>1.7741879980485709</v>
      </c>
      <c r="D86" s="567">
        <f t="shared" si="4"/>
        <v>1.383995125222494</v>
      </c>
      <c r="E86" s="567">
        <f t="shared" si="4"/>
        <v>0.99380225239641728</v>
      </c>
      <c r="F86" s="567">
        <f t="shared" si="4"/>
        <v>0.21341650674426371</v>
      </c>
      <c r="G86" s="568">
        <f t="shared" si="4"/>
        <v>0.21341650674426371</v>
      </c>
      <c r="I86" s="565">
        <v>0.21341650674426371</v>
      </c>
      <c r="K86" s="569"/>
      <c r="L86" s="569"/>
      <c r="M86" s="569"/>
      <c r="N86" s="569"/>
    </row>
    <row r="87" spans="2:14" s="1" customFormat="1" x14ac:dyDescent="0.2">
      <c r="B87" s="510" t="s">
        <v>138</v>
      </c>
      <c r="C87" s="566">
        <f>'ΧΧΔ βάσει τρέχουσας'!M24</f>
        <v>1.7741879980485706</v>
      </c>
      <c r="D87" s="567">
        <f t="shared" si="4"/>
        <v>1.383995125222494</v>
      </c>
      <c r="E87" s="567">
        <f t="shared" si="4"/>
        <v>0.99380225239641717</v>
      </c>
      <c r="F87" s="567">
        <f t="shared" si="4"/>
        <v>0.21341650674426371</v>
      </c>
      <c r="G87" s="568">
        <f t="shared" si="4"/>
        <v>0.21341650674426371</v>
      </c>
      <c r="I87" s="565">
        <v>0.21341650674426371</v>
      </c>
      <c r="K87" s="569"/>
      <c r="L87" s="569"/>
      <c r="M87" s="569"/>
      <c r="N87" s="569"/>
    </row>
    <row r="88" spans="2:14" s="1" customFormat="1" x14ac:dyDescent="0.2">
      <c r="B88" s="510" t="s">
        <v>139</v>
      </c>
      <c r="C88" s="566">
        <f>'ΧΧΔ βάσει τρέχουσας'!M25</f>
        <v>1.7741879980485702</v>
      </c>
      <c r="D88" s="567">
        <f t="shared" si="4"/>
        <v>1.3839951252224936</v>
      </c>
      <c r="E88" s="567">
        <f t="shared" si="4"/>
        <v>0.99380225239641695</v>
      </c>
      <c r="F88" s="567">
        <f t="shared" si="4"/>
        <v>0.21341650674426371</v>
      </c>
      <c r="G88" s="568">
        <f t="shared" si="4"/>
        <v>0.21341650674426371</v>
      </c>
      <c r="I88" s="565">
        <v>0.21341650674426371</v>
      </c>
      <c r="K88" s="569"/>
      <c r="L88" s="569"/>
      <c r="M88" s="569"/>
      <c r="N88" s="569"/>
    </row>
    <row r="89" spans="2:14" s="1" customFormat="1" x14ac:dyDescent="0.2">
      <c r="B89" s="510" t="s">
        <v>140</v>
      </c>
      <c r="C89" s="566">
        <f>'ΧΧΔ βάσει τρέχουσας'!M26</f>
        <v>1.9959614978046414</v>
      </c>
      <c r="D89" s="567">
        <f t="shared" si="4"/>
        <v>1.550325250039547</v>
      </c>
      <c r="E89" s="567">
        <f t="shared" si="4"/>
        <v>1.1046890022744527</v>
      </c>
      <c r="F89" s="567">
        <f t="shared" si="4"/>
        <v>0.21341650674426371</v>
      </c>
      <c r="G89" s="568">
        <f t="shared" si="4"/>
        <v>0.21341650674426371</v>
      </c>
      <c r="I89" s="565">
        <v>0.21341650674426371</v>
      </c>
      <c r="K89" s="569"/>
      <c r="L89" s="569"/>
      <c r="M89" s="569"/>
      <c r="N89" s="569"/>
    </row>
    <row r="90" spans="2:14" s="1" customFormat="1" x14ac:dyDescent="0.2">
      <c r="B90" s="510" t="s">
        <v>141</v>
      </c>
      <c r="C90" s="566">
        <f>'ΧΧΔ βάσει τρέχουσας'!M27</f>
        <v>0</v>
      </c>
      <c r="D90" s="567">
        <f t="shared" si="4"/>
        <v>0</v>
      </c>
      <c r="E90" s="567">
        <f t="shared" si="4"/>
        <v>0</v>
      </c>
      <c r="F90" s="567">
        <f t="shared" si="4"/>
        <v>0</v>
      </c>
      <c r="G90" s="568">
        <f t="shared" si="4"/>
        <v>0</v>
      </c>
      <c r="I90" s="565">
        <v>0</v>
      </c>
    </row>
    <row r="91" spans="2:14" s="1" customFormat="1" ht="13.5" thickBot="1" x14ac:dyDescent="0.25">
      <c r="B91" s="510" t="s">
        <v>142</v>
      </c>
      <c r="C91" s="566">
        <f>'ΧΧΔ βάσει τρέχουσας'!M28</f>
        <v>1.6969061015917912</v>
      </c>
      <c r="D91" s="567">
        <f t="shared" si="4"/>
        <v>1.3237096492290958</v>
      </c>
      <c r="E91" s="567">
        <f t="shared" si="4"/>
        <v>0.95051319686640023</v>
      </c>
      <c r="F91" s="567">
        <f t="shared" si="4"/>
        <v>0.20412029214100935</v>
      </c>
      <c r="G91" s="568">
        <f t="shared" si="4"/>
        <v>0.20412029214100935</v>
      </c>
      <c r="I91" s="565">
        <v>0.20412029214100935</v>
      </c>
    </row>
    <row r="92" spans="2:14" s="1" customFormat="1" x14ac:dyDescent="0.2">
      <c r="B92" s="505" t="s">
        <v>143</v>
      </c>
      <c r="C92" s="566">
        <f>'ΧΧΔ βάσει τρέχουσας'!M29</f>
        <v>0</v>
      </c>
      <c r="D92" s="567">
        <f t="shared" si="4"/>
        <v>0</v>
      </c>
      <c r="E92" s="567">
        <f t="shared" si="4"/>
        <v>0</v>
      </c>
      <c r="F92" s="567">
        <f t="shared" si="4"/>
        <v>0</v>
      </c>
      <c r="G92" s="568">
        <f t="shared" si="4"/>
        <v>0</v>
      </c>
      <c r="I92" s="565">
        <v>0</v>
      </c>
    </row>
    <row r="93" spans="2:14" s="1" customFormat="1" ht="13.5" thickBot="1" x14ac:dyDescent="0.25">
      <c r="B93" s="514" t="s">
        <v>144</v>
      </c>
      <c r="C93" s="570">
        <f>'ΧΧΔ βάσει τρέχουσας'!M30</f>
        <v>0.29771596560727043</v>
      </c>
      <c r="D93" s="571">
        <f t="shared" si="4"/>
        <v>0.24398072679345206</v>
      </c>
      <c r="E93" s="571">
        <f t="shared" si="4"/>
        <v>0.19024548797963367</v>
      </c>
      <c r="F93" s="571">
        <f t="shared" si="4"/>
        <v>8.2775010351996914E-2</v>
      </c>
      <c r="G93" s="572">
        <f t="shared" si="4"/>
        <v>8.2775010351996914E-2</v>
      </c>
      <c r="I93" s="565">
        <v>8.2775010351996914E-2</v>
      </c>
    </row>
    <row r="94" spans="2:14" s="1" customFormat="1" ht="13.5" thickBot="1" x14ac:dyDescent="0.25">
      <c r="C94" s="112" t="s">
        <v>196</v>
      </c>
      <c r="D94" s="113"/>
      <c r="E94" s="113"/>
      <c r="F94" s="113"/>
      <c r="G94" s="114"/>
      <c r="I94" s="490"/>
    </row>
    <row r="95" spans="2:14" s="1" customFormat="1" x14ac:dyDescent="0.2">
      <c r="B95" s="505" t="s">
        <v>136</v>
      </c>
      <c r="C95" s="506">
        <f>C85*[1]Results_Main!$Q19*[1]Results_Main!$M19*10</f>
        <v>0</v>
      </c>
      <c r="D95" s="507">
        <f>D85*[1]Results_Main!$Q19*[1]Results_Main!$M19*10</f>
        <v>0</v>
      </c>
      <c r="E95" s="507">
        <f>E85*[1]Results_Main!$Q19*[1]Results_Main!$M19*10</f>
        <v>0</v>
      </c>
      <c r="F95" s="507">
        <f>F85*[1]Results_Main!$Q19*[1]Results_Main!$M19*10</f>
        <v>0</v>
      </c>
      <c r="G95" s="508">
        <f>G85*[1]Results_Main!$Q19*[1]Results_Main!$M19*10</f>
        <v>0</v>
      </c>
      <c r="I95" s="509">
        <v>0</v>
      </c>
    </row>
    <row r="96" spans="2:14" s="1" customFormat="1" x14ac:dyDescent="0.2">
      <c r="B96" s="510" t="s">
        <v>137</v>
      </c>
      <c r="C96" s="511">
        <f>C86*[1]Results_Main!$Q20*[1]Results_Main!$M20*10</f>
        <v>138626729.52741644</v>
      </c>
      <c r="D96" s="512">
        <f>D86*[1]Results_Main!$Q20*[1]Results_Main!$M20*10</f>
        <v>108138888.38302755</v>
      </c>
      <c r="E96" s="512">
        <f>E86*[1]Results_Main!$Q20*[1]Results_Main!$M20*10</f>
        <v>77651047.238638684</v>
      </c>
      <c r="F96" s="512">
        <f>F86*[1]Results_Main!$Q20*[1]Results_Main!$M20*10</f>
        <v>16675364.949860943</v>
      </c>
      <c r="G96" s="513">
        <f>G86*[1]Results_Main!$Q20*[1]Results_Main!$M20*10</f>
        <v>16675364.949860943</v>
      </c>
      <c r="I96" s="509">
        <v>16675364.949860942</v>
      </c>
    </row>
    <row r="97" spans="2:11" s="1" customFormat="1" x14ac:dyDescent="0.2">
      <c r="B97" s="510" t="s">
        <v>138</v>
      </c>
      <c r="C97" s="511">
        <f>C87*[1]Results_Main!$Q21*[1]Results_Main!$M21*10</f>
        <v>8201917.115460312</v>
      </c>
      <c r="D97" s="512">
        <f>D87*[1]Results_Main!$Q21*[1]Results_Main!$M21*10</f>
        <v>6398089.333126721</v>
      </c>
      <c r="E97" s="512">
        <f>E87*[1]Results_Main!$Q21*[1]Results_Main!$M21*10</f>
        <v>4594261.5507931281</v>
      </c>
      <c r="F97" s="512">
        <f>F87*[1]Results_Main!$Q21*[1]Results_Main!$M21*10</f>
        <v>986605.98612594581</v>
      </c>
      <c r="G97" s="513">
        <f>G87*[1]Results_Main!$Q21*[1]Results_Main!$M21*10</f>
        <v>986605.98612594581</v>
      </c>
      <c r="I97" s="509">
        <v>986605.98612594581</v>
      </c>
    </row>
    <row r="98" spans="2:11" s="1" customFormat="1" x14ac:dyDescent="0.2">
      <c r="B98" s="510" t="s">
        <v>139</v>
      </c>
      <c r="C98" s="511">
        <f>C88*[1]Results_Main!$Q22*[1]Results_Main!$M22*10</f>
        <v>14225013.474524504</v>
      </c>
      <c r="D98" s="512">
        <f>D88*[1]Results_Main!$Q22*[1]Results_Main!$M22*10</f>
        <v>11096540.686004143</v>
      </c>
      <c r="E98" s="512">
        <f>E88*[1]Results_Main!$Q22*[1]Results_Main!$M22*10</f>
        <v>7968067.8974837828</v>
      </c>
      <c r="F98" s="512">
        <f>F88*[1]Results_Main!$Q22*[1]Results_Main!$M22*10</f>
        <v>1711122.3204430623</v>
      </c>
      <c r="G98" s="513">
        <f>G88*[1]Results_Main!$Q22*[1]Results_Main!$M22*10</f>
        <v>1711122.3204430623</v>
      </c>
      <c r="I98" s="509">
        <v>1711122.3204430626</v>
      </c>
    </row>
    <row r="99" spans="2:11" s="1" customFormat="1" x14ac:dyDescent="0.2">
      <c r="B99" s="510" t="s">
        <v>140</v>
      </c>
      <c r="C99" s="511">
        <f>C89*[1]Results_Main!$Q23*[1]Results_Main!$M23*10</f>
        <v>351659478.12406909</v>
      </c>
      <c r="D99" s="512">
        <f>D89*[1]Results_Main!$Q23*[1]Results_Main!$M23*10</f>
        <v>273144832.17793775</v>
      </c>
      <c r="E99" s="512">
        <f>E89*[1]Results_Main!$Q23*[1]Results_Main!$M23*10</f>
        <v>194630186.23180643</v>
      </c>
      <c r="F99" s="512">
        <f>F89*[1]Results_Main!$Q23*[1]Results_Main!$M23*10</f>
        <v>37600894.339543678</v>
      </c>
      <c r="G99" s="513">
        <f>G89*[1]Results_Main!$Q23*[1]Results_Main!$M23*10</f>
        <v>37600894.339543678</v>
      </c>
      <c r="I99" s="509">
        <v>37600894.339543678</v>
      </c>
    </row>
    <row r="100" spans="2:11" s="1" customFormat="1" x14ac:dyDescent="0.2">
      <c r="B100" s="510" t="s">
        <v>141</v>
      </c>
      <c r="C100" s="511">
        <f>C90*[1]Results_Main!$Q24*[1]Results_Main!$M24*10</f>
        <v>0</v>
      </c>
      <c r="D100" s="512">
        <f>D90*[1]Results_Main!$Q24*[1]Results_Main!$M24*10</f>
        <v>0</v>
      </c>
      <c r="E100" s="512">
        <f>E90*[1]Results_Main!$Q24*[1]Results_Main!$M24*10</f>
        <v>0</v>
      </c>
      <c r="F100" s="512">
        <f>F90*[1]Results_Main!$Q24*[1]Results_Main!$M24*10</f>
        <v>0</v>
      </c>
      <c r="G100" s="513">
        <f>G90*[1]Results_Main!$Q24*[1]Results_Main!$M24*10</f>
        <v>0</v>
      </c>
      <c r="I100" s="509">
        <v>0</v>
      </c>
    </row>
    <row r="101" spans="2:11" s="1" customFormat="1" ht="13.5" thickBot="1" x14ac:dyDescent="0.25">
      <c r="B101" s="510" t="s">
        <v>142</v>
      </c>
      <c r="C101" s="511">
        <f>C91*[1]Results_Main!$Q25*[1]Results_Main!$M25*10</f>
        <v>67522294.169281304</v>
      </c>
      <c r="D101" s="512">
        <f>D91*[1]Results_Main!$Q25*[1]Results_Main!$M25*10</f>
        <v>52672279.418478087</v>
      </c>
      <c r="E101" s="512">
        <f>E91*[1]Results_Main!$Q25*[1]Results_Main!$M25*10</f>
        <v>37822264.667674854</v>
      </c>
      <c r="F101" s="512">
        <f>F91*[1]Results_Main!$Q25*[1]Results_Main!$M25*10</f>
        <v>8122235.1660683947</v>
      </c>
      <c r="G101" s="513">
        <f>G91*[1]Results_Main!$Q25*[1]Results_Main!$M25*10</f>
        <v>8122235.1660683947</v>
      </c>
      <c r="I101" s="509">
        <v>8122235.1660683937</v>
      </c>
    </row>
    <row r="102" spans="2:11" s="1" customFormat="1" x14ac:dyDescent="0.2">
      <c r="B102" s="505" t="s">
        <v>143</v>
      </c>
      <c r="C102" s="511">
        <f>C92*[1]Results_Main!$Q26*[1]Results_Main!$M26*10</f>
        <v>0</v>
      </c>
      <c r="D102" s="512">
        <f>D92*[1]Results_Main!$Q26*[1]Results_Main!$M26*10</f>
        <v>0</v>
      </c>
      <c r="E102" s="512">
        <f>E92*[1]Results_Main!$Q26*[1]Results_Main!$M26*10</f>
        <v>0</v>
      </c>
      <c r="F102" s="512">
        <f>F92*[1]Results_Main!$Q26*[1]Results_Main!$M26*10</f>
        <v>0</v>
      </c>
      <c r="G102" s="513">
        <f>G92*[1]Results_Main!$Q26*[1]Results_Main!$M26*10</f>
        <v>0</v>
      </c>
      <c r="I102" s="509">
        <v>0</v>
      </c>
    </row>
    <row r="103" spans="2:11" s="1" customFormat="1" ht="13.5" thickBot="1" x14ac:dyDescent="0.25">
      <c r="B103" s="514" t="s">
        <v>144</v>
      </c>
      <c r="C103" s="515">
        <f>C93*[1]Results_Main!$Q27*[1]Results_Main!$M27*10</f>
        <v>32666060.645229384</v>
      </c>
      <c r="D103" s="516">
        <f>D93*[1]Results_Main!$Q27*[1]Results_Main!$M27*10</f>
        <v>26770110.233911544</v>
      </c>
      <c r="E103" s="516">
        <f>E93*[1]Results_Main!$Q27*[1]Results_Main!$M27*10</f>
        <v>20874159.822593696</v>
      </c>
      <c r="F103" s="516">
        <f>F93*[1]Results_Main!$Q27*[1]Results_Main!$M27*10</f>
        <v>9082258.9999580085</v>
      </c>
      <c r="G103" s="517">
        <f>G93*[1]Results_Main!$Q27*[1]Results_Main!$M27*10</f>
        <v>9082258.9999580085</v>
      </c>
      <c r="I103" s="509">
        <v>9082258.9999580085</v>
      </c>
    </row>
    <row r="104" spans="2:11" s="1" customFormat="1" x14ac:dyDescent="0.2">
      <c r="C104" s="559">
        <f>SUM(C95:C103)</f>
        <v>612901493.05598092</v>
      </c>
      <c r="D104" s="559">
        <f>SUM(D95:D103)</f>
        <v>478220740.23248577</v>
      </c>
      <c r="E104" s="559">
        <f t="shared" ref="E104:G104" si="5">SUM(E95:E103)</f>
        <v>343539987.40899056</v>
      </c>
      <c r="F104" s="559">
        <f t="shared" si="5"/>
        <v>74178481.762000024</v>
      </c>
      <c r="G104" s="559">
        <f t="shared" si="5"/>
        <v>74178481.762000024</v>
      </c>
      <c r="I104" s="560">
        <v>74178481.762000024</v>
      </c>
    </row>
    <row r="105" spans="2:11" s="1" customFormat="1" ht="13.5" thickBot="1" x14ac:dyDescent="0.25">
      <c r="C105" s="559"/>
      <c r="D105" s="559"/>
      <c r="E105" s="559"/>
      <c r="F105" s="559"/>
      <c r="G105" s="559"/>
      <c r="I105" s="490"/>
    </row>
    <row r="106" spans="2:11" s="1" customFormat="1" ht="13.5" thickBot="1" x14ac:dyDescent="0.25">
      <c r="C106" s="112" t="s">
        <v>31</v>
      </c>
      <c r="D106" s="113"/>
      <c r="E106" s="113"/>
      <c r="F106" s="113"/>
      <c r="G106" s="114"/>
      <c r="I106" s="457"/>
    </row>
    <row r="107" spans="2:11" s="1" customFormat="1" x14ac:dyDescent="0.2">
      <c r="B107" s="505" t="s">
        <v>136</v>
      </c>
      <c r="C107" s="543">
        <f>'ΧΧΔ βάσει τρέχουσας'!K22</f>
        <v>0</v>
      </c>
      <c r="D107" s="544">
        <f t="shared" ref="D107:G111" si="6">$I107*D$21+$C107*(1-D$21)</f>
        <v>0</v>
      </c>
      <c r="E107" s="544">
        <f t="shared" si="6"/>
        <v>0</v>
      </c>
      <c r="F107" s="544">
        <f t="shared" si="6"/>
        <v>0</v>
      </c>
      <c r="G107" s="545">
        <f t="shared" si="6"/>
        <v>0</v>
      </c>
      <c r="I107" s="565">
        <v>0</v>
      </c>
    </row>
    <row r="108" spans="2:11" s="1" customFormat="1" x14ac:dyDescent="0.2">
      <c r="B108" s="510" t="s">
        <v>137</v>
      </c>
      <c r="C108" s="547">
        <f>'ΧΧΔ βάσει τρέχουσας'!K23</f>
        <v>1.5568256395839073</v>
      </c>
      <c r="D108" s="548">
        <f t="shared" si="6"/>
        <v>2.6471827786363877</v>
      </c>
      <c r="E108" s="548">
        <f t="shared" si="6"/>
        <v>3.7375399176888684</v>
      </c>
      <c r="F108" s="548">
        <f t="shared" si="6"/>
        <v>5.9182541957938293</v>
      </c>
      <c r="G108" s="549">
        <f t="shared" si="6"/>
        <v>5.9182541957938293</v>
      </c>
      <c r="I108" s="565">
        <v>5.9182541957938293</v>
      </c>
      <c r="K108" s="573"/>
    </row>
    <row r="109" spans="2:11" s="1" customFormat="1" x14ac:dyDescent="0.2">
      <c r="B109" s="510" t="s">
        <v>138</v>
      </c>
      <c r="C109" s="547">
        <f>'ΧΧΔ βάσει τρέχουσας'!K24</f>
        <v>1.9388499906532186</v>
      </c>
      <c r="D109" s="548">
        <f t="shared" si="6"/>
        <v>3.4473454250834479</v>
      </c>
      <c r="E109" s="548">
        <f t="shared" si="6"/>
        <v>4.9558408595136765</v>
      </c>
      <c r="F109" s="548">
        <f t="shared" si="6"/>
        <v>7.9728317283741346</v>
      </c>
      <c r="G109" s="549">
        <f t="shared" si="6"/>
        <v>7.9728317283741346</v>
      </c>
      <c r="I109" s="565">
        <v>7.9728317283741346</v>
      </c>
    </row>
    <row r="110" spans="2:11" s="1" customFormat="1" x14ac:dyDescent="0.2">
      <c r="B110" s="510" t="s">
        <v>139</v>
      </c>
      <c r="C110" s="547">
        <f>'ΧΧΔ βάσει τρέχουσας'!K25</f>
        <v>3.1822442069842656</v>
      </c>
      <c r="D110" s="548">
        <f t="shared" si="6"/>
        <v>5.3138297686521767</v>
      </c>
      <c r="E110" s="548">
        <f t="shared" si="6"/>
        <v>7.4454153303200865</v>
      </c>
      <c r="F110" s="548">
        <f t="shared" si="6"/>
        <v>11.708586453655908</v>
      </c>
      <c r="G110" s="549">
        <f t="shared" si="6"/>
        <v>11.708586453655908</v>
      </c>
      <c r="I110" s="565">
        <v>11.708586453655908</v>
      </c>
    </row>
    <row r="111" spans="2:11" s="1" customFormat="1" x14ac:dyDescent="0.2">
      <c r="B111" s="510" t="s">
        <v>140</v>
      </c>
      <c r="C111" s="547">
        <f>'ΧΧΔ βάσει τρέχουσας'!K26</f>
        <v>0.51705562033326835</v>
      </c>
      <c r="D111" s="548">
        <f t="shared" si="6"/>
        <v>1.5101418199619523</v>
      </c>
      <c r="E111" s="548">
        <f t="shared" si="6"/>
        <v>2.5032280195906362</v>
      </c>
      <c r="F111" s="548">
        <f t="shared" si="6"/>
        <v>4.4894004188480041</v>
      </c>
      <c r="G111" s="549">
        <f t="shared" si="6"/>
        <v>4.4894004188480041</v>
      </c>
      <c r="I111" s="565">
        <v>4.4894004188480041</v>
      </c>
    </row>
    <row r="112" spans="2:11" s="1" customFormat="1" x14ac:dyDescent="0.2">
      <c r="B112" s="510" t="s">
        <v>141</v>
      </c>
      <c r="C112" s="547">
        <f>'ΧΧΔ βάσει τρέχουσας'!K27</f>
        <v>0</v>
      </c>
      <c r="D112" s="548">
        <f>D122/([1]Results_Main!$S24*1000)</f>
        <v>0</v>
      </c>
      <c r="E112" s="548">
        <f>E122/([1]Results_Main!$S24*1000)</f>
        <v>0</v>
      </c>
      <c r="F112" s="548">
        <f>F122/([1]Results_Main!$S24*1000)</f>
        <v>0</v>
      </c>
      <c r="G112" s="549">
        <f>G122/([1]Results_Main!$S24*1000)</f>
        <v>0</v>
      </c>
      <c r="I112" s="565">
        <v>0</v>
      </c>
    </row>
    <row r="113" spans="2:9" s="1" customFormat="1" ht="13.5" thickBot="1" x14ac:dyDescent="0.25">
      <c r="B113" s="510" t="s">
        <v>142</v>
      </c>
      <c r="C113" s="547">
        <f>'ΧΧΔ βάσει τρέχουσας'!K28</f>
        <v>3.5065222717504647</v>
      </c>
      <c r="D113" s="548">
        <f>D123/([1]Results_Main!$S25*1000)</f>
        <v>0</v>
      </c>
      <c r="E113" s="548">
        <f>E123/([1]Results_Main!$S25*1000)</f>
        <v>0</v>
      </c>
      <c r="F113" s="548">
        <f>F123/([1]Results_Main!$S25*1000)</f>
        <v>0</v>
      </c>
      <c r="G113" s="549">
        <f>G123/([1]Results_Main!$S25*1000)</f>
        <v>0</v>
      </c>
      <c r="I113" s="565">
        <v>0</v>
      </c>
    </row>
    <row r="114" spans="2:9" s="1" customFormat="1" x14ac:dyDescent="0.2">
      <c r="B114" s="505" t="s">
        <v>143</v>
      </c>
      <c r="C114" s="547">
        <f>'ΧΧΔ βάσει τρέχουσας'!K29</f>
        <v>0</v>
      </c>
      <c r="D114" s="548">
        <f>D124/([1]Results_Main!$S26*1000)</f>
        <v>0</v>
      </c>
      <c r="E114" s="548">
        <f>E124/([1]Results_Main!$S26*1000)</f>
        <v>0</v>
      </c>
      <c r="F114" s="548">
        <f>F124/([1]Results_Main!$S26*1000)</f>
        <v>0</v>
      </c>
      <c r="G114" s="549">
        <f>G124/([1]Results_Main!$S26*1000)</f>
        <v>0</v>
      </c>
      <c r="I114" s="565">
        <v>0</v>
      </c>
    </row>
    <row r="115" spans="2:9" s="1" customFormat="1" ht="13.5" thickBot="1" x14ac:dyDescent="0.25">
      <c r="B115" s="514" t="s">
        <v>144</v>
      </c>
      <c r="C115" s="550">
        <f>'ΧΧΔ βάσει τρέχουσας'!K30</f>
        <v>0</v>
      </c>
      <c r="D115" s="551">
        <f>D125/([1]Results_Main!$S27*1000)</f>
        <v>0</v>
      </c>
      <c r="E115" s="551">
        <f>E125/([1]Results_Main!$S27*1000)</f>
        <v>0</v>
      </c>
      <c r="F115" s="551">
        <f>F125/([1]Results_Main!$S27*1000)</f>
        <v>0</v>
      </c>
      <c r="G115" s="552">
        <f>G125/([1]Results_Main!$S27*1000)</f>
        <v>0</v>
      </c>
      <c r="I115" s="565">
        <v>0</v>
      </c>
    </row>
    <row r="116" spans="2:9" s="1" customFormat="1" ht="13.5" thickBot="1" x14ac:dyDescent="0.25">
      <c r="C116" s="112" t="s">
        <v>197</v>
      </c>
      <c r="D116" s="113"/>
      <c r="E116" s="113"/>
      <c r="F116" s="113"/>
      <c r="G116" s="114"/>
      <c r="I116" s="490"/>
    </row>
    <row r="117" spans="2:9" s="1" customFormat="1" x14ac:dyDescent="0.2">
      <c r="B117" s="505" t="s">
        <v>136</v>
      </c>
      <c r="C117" s="506">
        <f>C107*[1]Results_Main!$S19*1000</f>
        <v>0</v>
      </c>
      <c r="D117" s="507">
        <f>D107*[1]Results_Main!$S19*1000</f>
        <v>0</v>
      </c>
      <c r="E117" s="507">
        <f>E107*[1]Results_Main!$S19*1000</f>
        <v>0</v>
      </c>
      <c r="F117" s="507">
        <f>F107*[1]Results_Main!$S19*1000</f>
        <v>0</v>
      </c>
      <c r="G117" s="508">
        <f>G107*[1]Results_Main!$S19*1000</f>
        <v>0</v>
      </c>
      <c r="I117" s="509">
        <v>0</v>
      </c>
    </row>
    <row r="118" spans="2:9" s="1" customFormat="1" x14ac:dyDescent="0.2">
      <c r="B118" s="510" t="s">
        <v>137</v>
      </c>
      <c r="C118" s="511">
        <f>C108*[1]Results_Main!$S20*1000</f>
        <v>34656682.381854109</v>
      </c>
      <c r="D118" s="512">
        <f>D108*[1]Results_Main!$S20*1000</f>
        <v>58929253.497158058</v>
      </c>
      <c r="E118" s="512">
        <f>E108*[1]Results_Main!$S20*1000</f>
        <v>83201824.612462014</v>
      </c>
      <c r="F118" s="512">
        <f>F108*[1]Results_Main!$S20*1000</f>
        <v>131746966.84306991</v>
      </c>
      <c r="G118" s="513">
        <f>G108*[1]Results_Main!$S20*1000</f>
        <v>131746966.84306991</v>
      </c>
      <c r="I118" s="509">
        <v>131746966.84306993</v>
      </c>
    </row>
    <row r="119" spans="2:9" s="1" customFormat="1" x14ac:dyDescent="0.2">
      <c r="B119" s="510" t="s">
        <v>138</v>
      </c>
      <c r="C119" s="511">
        <f>C109*[1]Results_Main!$S21*1000</f>
        <v>2050479.278865078</v>
      </c>
      <c r="D119" s="512">
        <f>D109*[1]Results_Main!$S21*1000</f>
        <v>3645826.3379326276</v>
      </c>
      <c r="E119" s="512">
        <f>E109*[1]Results_Main!$S21*1000</f>
        <v>5241173.3970001768</v>
      </c>
      <c r="F119" s="512">
        <f>F109*[1]Results_Main!$S21*1000</f>
        <v>8431867.5151352771</v>
      </c>
      <c r="G119" s="513">
        <f>G109*[1]Results_Main!$S21*1000</f>
        <v>8431867.5151352771</v>
      </c>
      <c r="I119" s="509">
        <v>8431867.5151352752</v>
      </c>
    </row>
    <row r="120" spans="2:9" s="1" customFormat="1" x14ac:dyDescent="0.2">
      <c r="B120" s="510" t="s">
        <v>139</v>
      </c>
      <c r="C120" s="511">
        <f>C110*[1]Results_Main!$S22*1000</f>
        <v>3556253.3686311264</v>
      </c>
      <c r="D120" s="512">
        <f>D110*[1]Results_Main!$S22*1000</f>
        <v>5938364.1813618671</v>
      </c>
      <c r="E120" s="512">
        <f>E110*[1]Results_Main!$S22*1000</f>
        <v>8320474.9940926069</v>
      </c>
      <c r="F120" s="512">
        <f>F110*[1]Results_Main!$S22*1000</f>
        <v>13084696.619554086</v>
      </c>
      <c r="G120" s="513">
        <f>G110*[1]Results_Main!$S22*1000</f>
        <v>13084696.619554086</v>
      </c>
      <c r="I120" s="509">
        <v>13084696.619554086</v>
      </c>
    </row>
    <row r="121" spans="2:9" s="1" customFormat="1" x14ac:dyDescent="0.2">
      <c r="B121" s="510" t="s">
        <v>140</v>
      </c>
      <c r="C121" s="511">
        <f>C111*[1]Results_Main!$S23*1000</f>
        <v>39073275.347118787</v>
      </c>
      <c r="D121" s="512">
        <f>D111*[1]Results_Main!$S23*1000</f>
        <v>114119612.71504986</v>
      </c>
      <c r="E121" s="512">
        <f>E111*[1]Results_Main!$S23*1000</f>
        <v>189165950.08298093</v>
      </c>
      <c r="F121" s="512">
        <f>F111*[1]Results_Main!$S23*1000</f>
        <v>339258624.81884307</v>
      </c>
      <c r="G121" s="513">
        <f>G111*[1]Results_Main!$S23*1000</f>
        <v>339258624.81884307</v>
      </c>
      <c r="I121" s="509">
        <v>339258624.81884313</v>
      </c>
    </row>
    <row r="122" spans="2:9" s="1" customFormat="1" x14ac:dyDescent="0.2">
      <c r="B122" s="510" t="s">
        <v>141</v>
      </c>
      <c r="C122" s="511">
        <f>C112*[1]Results_Main!$S24*1000</f>
        <v>0</v>
      </c>
      <c r="D122" s="512">
        <f>(D29-D78-D100)*([1]Results_Main!$K$11)</f>
        <v>0</v>
      </c>
      <c r="E122" s="512">
        <f>(E29-E78-E100)*([1]Results_Main!$K$11)</f>
        <v>0</v>
      </c>
      <c r="F122" s="512">
        <f>(F29-F78-F100)*([1]Results_Main!$K$11)</f>
        <v>0</v>
      </c>
      <c r="G122" s="513">
        <f>(G29-G78-G100)*([1]Results_Main!$K$11)</f>
        <v>0</v>
      </c>
      <c r="I122" s="509">
        <v>0</v>
      </c>
    </row>
    <row r="123" spans="2:9" s="1" customFormat="1" ht="13.5" thickBot="1" x14ac:dyDescent="0.25">
      <c r="B123" s="510" t="s">
        <v>142</v>
      </c>
      <c r="C123" s="511">
        <f>C113*[1]Results_Main!$S25*1000</f>
        <v>16880573.542320326</v>
      </c>
      <c r="D123" s="512">
        <f>(D30-D79-D101)*([1]Results_Main!$K$11)</f>
        <v>0</v>
      </c>
      <c r="E123" s="512">
        <f>(E30-E79-E101)*([1]Results_Main!$K$11)</f>
        <v>0</v>
      </c>
      <c r="F123" s="512">
        <f>(F30-F79-F101)*([1]Results_Main!$K$11)</f>
        <v>0</v>
      </c>
      <c r="G123" s="513">
        <f>(G30-G79-G101)*([1]Results_Main!$K$11)</f>
        <v>0</v>
      </c>
      <c r="I123" s="509">
        <v>0</v>
      </c>
    </row>
    <row r="124" spans="2:9" s="1" customFormat="1" x14ac:dyDescent="0.2">
      <c r="B124" s="505" t="s">
        <v>143</v>
      </c>
      <c r="C124" s="511">
        <f>C114*[1]Results_Main!$S26*1000</f>
        <v>0</v>
      </c>
      <c r="D124" s="512">
        <f>(D31-D80-D102)*([1]Results_Main!$K$11)</f>
        <v>0</v>
      </c>
      <c r="E124" s="512">
        <f>(E31-E80-E102)*([1]Results_Main!$K$11)</f>
        <v>0</v>
      </c>
      <c r="F124" s="512">
        <f>(F31-F80-F102)*([1]Results_Main!$K$11)</f>
        <v>0</v>
      </c>
      <c r="G124" s="513">
        <f>(G31-G80-G102)*([1]Results_Main!$K$11)</f>
        <v>0</v>
      </c>
      <c r="I124" s="509">
        <v>0</v>
      </c>
    </row>
    <row r="125" spans="2:9" s="1" customFormat="1" ht="13.5" thickBot="1" x14ac:dyDescent="0.25">
      <c r="B125" s="514" t="s">
        <v>144</v>
      </c>
      <c r="C125" s="515">
        <f>C115*[1]Results_Main!$S27*1000</f>
        <v>0</v>
      </c>
      <c r="D125" s="516">
        <f>(D32-D81-D103)*([1]Results_Main!$K$11)</f>
        <v>0</v>
      </c>
      <c r="E125" s="516">
        <f>(E32-E81-E103)*([1]Results_Main!$K$11)</f>
        <v>0</v>
      </c>
      <c r="F125" s="516">
        <f>(F32-F81-F103)*([1]Results_Main!$K$11)</f>
        <v>0</v>
      </c>
      <c r="G125" s="517">
        <f>(G32-G81-G103)*([1]Results_Main!$K$11)</f>
        <v>0</v>
      </c>
      <c r="I125" s="509">
        <v>0</v>
      </c>
    </row>
    <row r="126" spans="2:9" s="1" customFormat="1" x14ac:dyDescent="0.2">
      <c r="C126" s="559">
        <f>SUM(C117:C125)</f>
        <v>96217263.918789431</v>
      </c>
      <c r="D126" s="559">
        <f>SUM(D117:D125)</f>
        <v>182633056.73150241</v>
      </c>
      <c r="E126" s="559">
        <f t="shared" ref="E126:G126" si="7">SUM(E117:E125)</f>
        <v>285929423.08653575</v>
      </c>
      <c r="F126" s="559">
        <f t="shared" si="7"/>
        <v>492522155.79660237</v>
      </c>
      <c r="G126" s="559">
        <f t="shared" si="7"/>
        <v>492522155.79660237</v>
      </c>
      <c r="I126" s="560">
        <v>492522155.79660237</v>
      </c>
    </row>
    <row r="127" spans="2:9" s="1" customFormat="1" ht="13.5" thickBot="1" x14ac:dyDescent="0.25">
      <c r="C127" s="559"/>
      <c r="D127" s="559"/>
      <c r="E127" s="559"/>
      <c r="F127" s="559"/>
      <c r="G127" s="559"/>
      <c r="I127" s="561"/>
    </row>
    <row r="128" spans="2:9" s="1" customFormat="1" ht="13.5" thickBot="1" x14ac:dyDescent="0.25">
      <c r="C128" s="112" t="s">
        <v>198</v>
      </c>
      <c r="D128" s="113"/>
      <c r="E128" s="113"/>
      <c r="F128" s="113"/>
      <c r="G128" s="114"/>
      <c r="I128" s="457"/>
    </row>
    <row r="129" spans="2:9" s="1" customFormat="1" x14ac:dyDescent="0.2">
      <c r="B129" s="505" t="s">
        <v>136</v>
      </c>
      <c r="C129" s="562"/>
      <c r="D129" s="563"/>
      <c r="E129" s="563"/>
      <c r="F129" s="563"/>
      <c r="G129" s="564"/>
      <c r="I129" s="574"/>
    </row>
    <row r="130" spans="2:9" s="1" customFormat="1" x14ac:dyDescent="0.2">
      <c r="B130" s="510" t="s">
        <v>137</v>
      </c>
      <c r="C130" s="566"/>
      <c r="D130" s="567"/>
      <c r="E130" s="567"/>
      <c r="F130" s="567"/>
      <c r="G130" s="568"/>
      <c r="I130" s="574"/>
    </row>
    <row r="131" spans="2:9" s="1" customFormat="1" x14ac:dyDescent="0.2">
      <c r="B131" s="510" t="s">
        <v>138</v>
      </c>
      <c r="C131" s="566"/>
      <c r="D131" s="567"/>
      <c r="E131" s="567"/>
      <c r="F131" s="567"/>
      <c r="G131" s="568"/>
      <c r="I131" s="574"/>
    </row>
    <row r="132" spans="2:9" s="1" customFormat="1" x14ac:dyDescent="0.2">
      <c r="B132" s="510" t="s">
        <v>139</v>
      </c>
      <c r="C132" s="566"/>
      <c r="D132" s="567"/>
      <c r="E132" s="567"/>
      <c r="F132" s="567"/>
      <c r="G132" s="568"/>
      <c r="I132" s="574"/>
    </row>
    <row r="133" spans="2:9" s="1" customFormat="1" x14ac:dyDescent="0.2">
      <c r="B133" s="510" t="s">
        <v>140</v>
      </c>
      <c r="C133" s="566"/>
      <c r="D133" s="567"/>
      <c r="E133" s="567"/>
      <c r="F133" s="567"/>
      <c r="G133" s="568"/>
      <c r="I133" s="574"/>
    </row>
    <row r="134" spans="2:9" s="1" customFormat="1" x14ac:dyDescent="0.2">
      <c r="B134" s="510" t="s">
        <v>141</v>
      </c>
      <c r="C134" s="547">
        <f>C144/[1]Results_Main!$R24*IF([1]Results_Main!$K$12=1,[1]Results_Main!$L24,1)/1000</f>
        <v>0</v>
      </c>
      <c r="D134" s="548">
        <f>D144/[1]Results_Main!$R24*IF([1]Results_Main!$K$12=1,[1]Results_Main!$L24,1)/1000</f>
        <v>0</v>
      </c>
      <c r="E134" s="548">
        <f>E144/[1]Results_Main!$R24*IF([1]Results_Main!$K$12=1,[1]Results_Main!$L24,1)/1000</f>
        <v>0</v>
      </c>
      <c r="F134" s="548">
        <f>F144/[1]Results_Main!$R24*IF([1]Results_Main!$K$12=1,[1]Results_Main!$L24,1)/1000</f>
        <v>0</v>
      </c>
      <c r="G134" s="549">
        <f>G144/[1]Results_Main!$R24*IF([1]Results_Main!$K$12=1,[1]Results_Main!$L24,1)/1000</f>
        <v>0</v>
      </c>
      <c r="I134" s="565">
        <v>0</v>
      </c>
    </row>
    <row r="135" spans="2:9" s="1" customFormat="1" ht="13.5" thickBot="1" x14ac:dyDescent="0.25">
      <c r="B135" s="510" t="s">
        <v>142</v>
      </c>
      <c r="C135" s="547">
        <f>C145/[1]Results_Main!$R25*IF([1]Results_Main!$K$12=1,[1]Results_Main!$L25,1)/1000</f>
        <v>0</v>
      </c>
      <c r="D135" s="548">
        <f>D145/[1]Results_Main!$R25*IF([1]Results_Main!$K$12=1,[1]Results_Main!$L25,1)/1000</f>
        <v>62.724614951815447</v>
      </c>
      <c r="E135" s="548">
        <f>E145/[1]Results_Main!$R25*IF([1]Results_Main!$K$12=1,[1]Results_Main!$L25,1)/1000</f>
        <v>88.135172560514505</v>
      </c>
      <c r="F135" s="548">
        <f>F145/[1]Results_Main!$R25*IF([1]Results_Main!$K$12=1,[1]Results_Main!$L25,1)/1000</f>
        <v>138.95628777791262</v>
      </c>
      <c r="G135" s="549">
        <f>G145/[1]Results_Main!$R25*IF([1]Results_Main!$K$12=1,[1]Results_Main!$L25,1)/1000</f>
        <v>138.95628777791262</v>
      </c>
      <c r="I135" s="565">
        <v>138.95628777791265</v>
      </c>
    </row>
    <row r="136" spans="2:9" s="1" customFormat="1" x14ac:dyDescent="0.2">
      <c r="B136" s="505" t="s">
        <v>143</v>
      </c>
      <c r="C136" s="547">
        <f>C146/[1]Results_Main!$R26*IF([1]Results_Main!$K$12=1,[1]Results_Main!$L26,1)/1000</f>
        <v>0</v>
      </c>
      <c r="D136" s="548">
        <f>D146/[1]Results_Main!$R26*IF([1]Results_Main!$K$12=1,[1]Results_Main!$L26,1)/1000</f>
        <v>6.8263558158897895E-17</v>
      </c>
      <c r="E136" s="548">
        <f>E146/[1]Results_Main!$R26*IF([1]Results_Main!$K$12=1,[1]Results_Main!$L26,1)/1000</f>
        <v>1.3652711631779579E-16</v>
      </c>
      <c r="F136" s="548">
        <f>F146/[1]Results_Main!$R26*IF([1]Results_Main!$K$12=1,[1]Results_Main!$L26,1)/1000</f>
        <v>2.7305423263559158E-16</v>
      </c>
      <c r="G136" s="549">
        <f>G146/[1]Results_Main!$R26*IF([1]Results_Main!$K$12=1,[1]Results_Main!$L26,1)/1000</f>
        <v>2.7305423263559158E-16</v>
      </c>
      <c r="I136" s="565">
        <v>0</v>
      </c>
    </row>
    <row r="137" spans="2:9" s="1" customFormat="1" ht="13.5" thickBot="1" x14ac:dyDescent="0.25">
      <c r="B137" s="514" t="s">
        <v>144</v>
      </c>
      <c r="C137" s="550">
        <f>C147/[1]Results_Main!$R27*IF([1]Results_Main!$K$12=1,[1]Results_Main!$L27,1)/1000</f>
        <v>24.858129266398588</v>
      </c>
      <c r="D137" s="551">
        <f>D147/[1]Results_Main!$R27*IF([1]Results_Main!$K$12=1,[1]Results_Main!$L27,1)/1000</f>
        <v>29.508321204550885</v>
      </c>
      <c r="E137" s="551">
        <f>E147/[1]Results_Main!$R27*IF([1]Results_Main!$K$12=1,[1]Results_Main!$L27,1)/1000</f>
        <v>34.158513142703185</v>
      </c>
      <c r="F137" s="551">
        <f>F147/[1]Results_Main!$R27*IF([1]Results_Main!$K$12=1,[1]Results_Main!$L27,1)/1000</f>
        <v>43.458897019007786</v>
      </c>
      <c r="G137" s="552">
        <f>G147/[1]Results_Main!$R27*IF([1]Results_Main!$K$12=1,[1]Results_Main!$L27,1)/1000</f>
        <v>43.458897019007786</v>
      </c>
      <c r="I137" s="565">
        <v>43.458897019007779</v>
      </c>
    </row>
    <row r="138" spans="2:9" s="1" customFormat="1" ht="13.5" thickBot="1" x14ac:dyDescent="0.25">
      <c r="C138" s="112" t="s">
        <v>199</v>
      </c>
      <c r="D138" s="113"/>
      <c r="E138" s="113"/>
      <c r="F138" s="113"/>
      <c r="G138" s="114"/>
      <c r="I138" s="457"/>
    </row>
    <row r="139" spans="2:9" s="1" customFormat="1" x14ac:dyDescent="0.2">
      <c r="B139" s="505" t="s">
        <v>136</v>
      </c>
      <c r="C139" s="506"/>
      <c r="D139" s="507"/>
      <c r="E139" s="507"/>
      <c r="F139" s="507"/>
      <c r="G139" s="508"/>
      <c r="I139" s="575"/>
    </row>
    <row r="140" spans="2:9" s="1" customFormat="1" x14ac:dyDescent="0.2">
      <c r="B140" s="510" t="s">
        <v>137</v>
      </c>
      <c r="C140" s="511"/>
      <c r="D140" s="512"/>
      <c r="E140" s="512"/>
      <c r="F140" s="512"/>
      <c r="G140" s="513"/>
      <c r="I140" s="575"/>
    </row>
    <row r="141" spans="2:9" s="1" customFormat="1" x14ac:dyDescent="0.2">
      <c r="B141" s="510" t="s">
        <v>138</v>
      </c>
      <c r="C141" s="511"/>
      <c r="D141" s="512"/>
      <c r="E141" s="512"/>
      <c r="F141" s="512"/>
      <c r="G141" s="513"/>
      <c r="I141" s="575"/>
    </row>
    <row r="142" spans="2:9" s="1" customFormat="1" x14ac:dyDescent="0.2">
      <c r="B142" s="510" t="s">
        <v>139</v>
      </c>
      <c r="C142" s="511"/>
      <c r="D142" s="512"/>
      <c r="E142" s="512"/>
      <c r="F142" s="512"/>
      <c r="G142" s="513"/>
      <c r="I142" s="575"/>
    </row>
    <row r="143" spans="2:9" s="1" customFormat="1" x14ac:dyDescent="0.2">
      <c r="B143" s="510" t="s">
        <v>140</v>
      </c>
      <c r="C143" s="511"/>
      <c r="D143" s="512"/>
      <c r="E143" s="512"/>
      <c r="F143" s="512"/>
      <c r="G143" s="513"/>
      <c r="I143" s="575"/>
    </row>
    <row r="144" spans="2:9" s="1" customFormat="1" x14ac:dyDescent="0.2">
      <c r="B144" s="510" t="s">
        <v>141</v>
      </c>
      <c r="C144" s="511">
        <f>E8*C29</f>
        <v>0</v>
      </c>
      <c r="D144" s="512">
        <f>(D29-D78-D100)*(1-[1]Results_Main!$K$11)</f>
        <v>0</v>
      </c>
      <c r="E144" s="512">
        <f>(E29-E78-E100)*(1-[1]Results_Main!$K$11)</f>
        <v>0</v>
      </c>
      <c r="F144" s="512">
        <f>(F29-F78-F100)*(1-[1]Results_Main!$K$11)</f>
        <v>0</v>
      </c>
      <c r="G144" s="513">
        <f>(G29-G78-G100)*(1-[1]Results_Main!$K$11)</f>
        <v>0</v>
      </c>
      <c r="I144" s="509">
        <v>0</v>
      </c>
    </row>
    <row r="145" spans="2:9" s="1" customFormat="1" ht="13.5" thickBot="1" x14ac:dyDescent="0.25">
      <c r="B145" s="510" t="s">
        <v>142</v>
      </c>
      <c r="C145" s="511">
        <f>E9*C30</f>
        <v>0</v>
      </c>
      <c r="D145" s="512">
        <f>(D30-D79-D101)*(1-[1]Results_Main!$K$11)</f>
        <v>28376101.421283141</v>
      </c>
      <c r="E145" s="512">
        <f>(E30-E79-E101)*(1-[1]Results_Main!$K$11)</f>
        <v>39871629.300245956</v>
      </c>
      <c r="F145" s="512">
        <f>(F30-F79-F101)*(1-[1]Results_Main!$K$11)</f>
        <v>62862685.058171593</v>
      </c>
      <c r="G145" s="513">
        <f>(G30-G79-G101)*(1-[1]Results_Main!$K$11)</f>
        <v>62862685.058171593</v>
      </c>
      <c r="I145" s="509">
        <v>62862685.058171608</v>
      </c>
    </row>
    <row r="146" spans="2:9" s="1" customFormat="1" x14ac:dyDescent="0.2">
      <c r="B146" s="505" t="s">
        <v>143</v>
      </c>
      <c r="C146" s="511">
        <f>E10*C31</f>
        <v>0</v>
      </c>
      <c r="D146" s="512">
        <f>(D31-D80-D102)*(1-[1]Results_Main!$K$11)</f>
        <v>3.637978807091713E-12</v>
      </c>
      <c r="E146" s="512">
        <f>(E31-E80-E102)*(1-[1]Results_Main!$K$11)</f>
        <v>7.2759576141834259E-12</v>
      </c>
      <c r="F146" s="512">
        <f>(F31-F80-F102)*(1-[1]Results_Main!$K$11)</f>
        <v>1.4551915228366852E-11</v>
      </c>
      <c r="G146" s="513">
        <f>(G31-G80-G102)*(1-[1]Results_Main!$K$11)</f>
        <v>1.4551915228366852E-11</v>
      </c>
      <c r="I146" s="509">
        <v>0</v>
      </c>
    </row>
    <row r="147" spans="2:9" s="1" customFormat="1" ht="13.5" thickBot="1" x14ac:dyDescent="0.25">
      <c r="B147" s="514" t="s">
        <v>144</v>
      </c>
      <c r="C147" s="515">
        <f>E11*C32</f>
        <v>32666060.645229381</v>
      </c>
      <c r="D147" s="516">
        <f>(D32-D81-D103)*(1-[1]Results_Main!$K$11)</f>
        <v>38776876.557228506</v>
      </c>
      <c r="E147" s="516">
        <f>(E32-E81-E103)*(1-[1]Results_Main!$K$11)</f>
        <v>44887692.469227642</v>
      </c>
      <c r="F147" s="516">
        <f>(F32-F81-F103)*(1-[1]Results_Main!$K$11)</f>
        <v>57109324.293225907</v>
      </c>
      <c r="G147" s="517">
        <f>(G32-G81-G103)*(1-[1]Results_Main!$K$11)</f>
        <v>57109324.293225907</v>
      </c>
      <c r="I147" s="509">
        <v>57109324.293225899</v>
      </c>
    </row>
    <row r="148" spans="2:9" s="1" customFormat="1" x14ac:dyDescent="0.2">
      <c r="C148" s="559">
        <f>SUM(C139:C147)</f>
        <v>32666060.645229381</v>
      </c>
      <c r="D148" s="559">
        <f>SUM(D139:D147)</f>
        <v>67152977.978511646</v>
      </c>
      <c r="E148" s="559">
        <f t="shared" ref="E148:G148" si="8">SUM(E139:E147)</f>
        <v>84759321.769473597</v>
      </c>
      <c r="F148" s="559">
        <f t="shared" si="8"/>
        <v>119972009.3513975</v>
      </c>
      <c r="G148" s="559">
        <f t="shared" si="8"/>
        <v>119972009.3513975</v>
      </c>
      <c r="I148" s="560">
        <v>119972009.35139751</v>
      </c>
    </row>
    <row r="149" spans="2:9" s="1" customFormat="1" x14ac:dyDescent="0.2">
      <c r="D149" s="56"/>
      <c r="E149" s="56"/>
      <c r="F149" s="56"/>
      <c r="G149" s="56"/>
      <c r="I149" s="457"/>
    </row>
    <row r="150" spans="2:9" s="1" customFormat="1" ht="13.5" thickBot="1" x14ac:dyDescent="0.25">
      <c r="I150" s="457"/>
    </row>
    <row r="151" spans="2:9" s="1" customFormat="1" ht="13.5" thickBot="1" x14ac:dyDescent="0.25">
      <c r="C151" s="576" t="s">
        <v>200</v>
      </c>
      <c r="D151" s="577"/>
      <c r="E151" s="577"/>
      <c r="F151" s="577"/>
      <c r="G151" s="578"/>
      <c r="I151" s="457"/>
    </row>
    <row r="152" spans="2:9" s="1" customFormat="1" x14ac:dyDescent="0.2">
      <c r="B152" s="505" t="s">
        <v>136</v>
      </c>
      <c r="C152" s="579">
        <f t="shared" ref="C152:G160" si="9">C24-(C73+C95+C117+C139)</f>
        <v>0</v>
      </c>
      <c r="D152" s="507">
        <f t="shared" si="9"/>
        <v>0</v>
      </c>
      <c r="E152" s="507">
        <f t="shared" si="9"/>
        <v>0</v>
      </c>
      <c r="F152" s="507">
        <f t="shared" si="9"/>
        <v>0</v>
      </c>
      <c r="G152" s="508">
        <f t="shared" si="9"/>
        <v>0</v>
      </c>
      <c r="I152" s="457"/>
    </row>
    <row r="153" spans="2:9" s="1" customFormat="1" x14ac:dyDescent="0.2">
      <c r="B153" s="510" t="s">
        <v>137</v>
      </c>
      <c r="C153" s="580">
        <f t="shared" si="9"/>
        <v>0</v>
      </c>
      <c r="D153" s="512">
        <f t="shared" si="9"/>
        <v>0</v>
      </c>
      <c r="E153" s="512">
        <f t="shared" si="9"/>
        <v>0</v>
      </c>
      <c r="F153" s="512">
        <f t="shared" si="9"/>
        <v>0</v>
      </c>
      <c r="G153" s="513">
        <f t="shared" si="9"/>
        <v>0</v>
      </c>
      <c r="I153" s="457"/>
    </row>
    <row r="154" spans="2:9" s="1" customFormat="1" x14ac:dyDescent="0.2">
      <c r="B154" s="510" t="s">
        <v>138</v>
      </c>
      <c r="C154" s="580">
        <f t="shared" si="9"/>
        <v>0</v>
      </c>
      <c r="D154" s="512">
        <f t="shared" si="9"/>
        <v>0</v>
      </c>
      <c r="E154" s="512">
        <f t="shared" si="9"/>
        <v>0</v>
      </c>
      <c r="F154" s="512">
        <f t="shared" si="9"/>
        <v>0</v>
      </c>
      <c r="G154" s="513">
        <f t="shared" si="9"/>
        <v>0</v>
      </c>
      <c r="I154" s="457"/>
    </row>
    <row r="155" spans="2:9" s="1" customFormat="1" x14ac:dyDescent="0.2">
      <c r="B155" s="510" t="s">
        <v>139</v>
      </c>
      <c r="C155" s="580">
        <f t="shared" si="9"/>
        <v>0</v>
      </c>
      <c r="D155" s="512">
        <f t="shared" si="9"/>
        <v>0</v>
      </c>
      <c r="E155" s="512">
        <f t="shared" si="9"/>
        <v>0</v>
      </c>
      <c r="F155" s="512">
        <f t="shared" si="9"/>
        <v>0</v>
      </c>
      <c r="G155" s="513">
        <f t="shared" si="9"/>
        <v>0</v>
      </c>
      <c r="I155" s="457"/>
    </row>
    <row r="156" spans="2:9" s="1" customFormat="1" x14ac:dyDescent="0.2">
      <c r="B156" s="510" t="s">
        <v>140</v>
      </c>
      <c r="C156" s="580">
        <f t="shared" si="9"/>
        <v>0</v>
      </c>
      <c r="D156" s="512">
        <f t="shared" si="9"/>
        <v>0</v>
      </c>
      <c r="E156" s="512">
        <f t="shared" si="9"/>
        <v>0</v>
      </c>
      <c r="F156" s="512">
        <f t="shared" si="9"/>
        <v>0</v>
      </c>
      <c r="G156" s="513">
        <f t="shared" si="9"/>
        <v>0</v>
      </c>
      <c r="I156" s="457"/>
    </row>
    <row r="157" spans="2:9" s="1" customFormat="1" x14ac:dyDescent="0.2">
      <c r="B157" s="510" t="s">
        <v>141</v>
      </c>
      <c r="C157" s="580">
        <f t="shared" si="9"/>
        <v>0</v>
      </c>
      <c r="D157" s="512">
        <f t="shared" si="9"/>
        <v>0</v>
      </c>
      <c r="E157" s="512">
        <f t="shared" si="9"/>
        <v>0</v>
      </c>
      <c r="F157" s="512">
        <f t="shared" si="9"/>
        <v>0</v>
      </c>
      <c r="G157" s="513">
        <f t="shared" si="9"/>
        <v>0</v>
      </c>
      <c r="I157" s="457"/>
    </row>
    <row r="158" spans="2:9" s="1" customFormat="1" ht="13.5" thickBot="1" x14ac:dyDescent="0.25">
      <c r="B158" s="510" t="s">
        <v>142</v>
      </c>
      <c r="C158" s="580">
        <f t="shared" si="9"/>
        <v>0</v>
      </c>
      <c r="D158" s="512">
        <f t="shared" si="9"/>
        <v>0</v>
      </c>
      <c r="E158" s="512">
        <f t="shared" si="9"/>
        <v>0</v>
      </c>
      <c r="F158" s="512">
        <f t="shared" si="9"/>
        <v>0</v>
      </c>
      <c r="G158" s="513">
        <f t="shared" si="9"/>
        <v>0</v>
      </c>
      <c r="I158" s="457"/>
    </row>
    <row r="159" spans="2:9" s="1" customFormat="1" x14ac:dyDescent="0.2">
      <c r="B159" s="505" t="s">
        <v>143</v>
      </c>
      <c r="C159" s="580">
        <f t="shared" si="9"/>
        <v>0</v>
      </c>
      <c r="D159" s="512">
        <f t="shared" si="9"/>
        <v>0</v>
      </c>
      <c r="E159" s="512">
        <f t="shared" si="9"/>
        <v>0</v>
      </c>
      <c r="F159" s="512">
        <f t="shared" si="9"/>
        <v>0</v>
      </c>
      <c r="G159" s="513">
        <f t="shared" si="9"/>
        <v>0</v>
      </c>
      <c r="I159" s="457"/>
    </row>
    <row r="160" spans="2:9" s="1" customFormat="1" ht="13.5" thickBot="1" x14ac:dyDescent="0.25">
      <c r="B160" s="514" t="s">
        <v>144</v>
      </c>
      <c r="C160" s="581">
        <f t="shared" si="9"/>
        <v>0</v>
      </c>
      <c r="D160" s="516">
        <f t="shared" si="9"/>
        <v>0</v>
      </c>
      <c r="E160" s="516">
        <f t="shared" si="9"/>
        <v>0</v>
      </c>
      <c r="F160" s="516">
        <f t="shared" si="9"/>
        <v>0</v>
      </c>
      <c r="G160" s="517">
        <f t="shared" si="9"/>
        <v>0</v>
      </c>
      <c r="I160" s="457"/>
    </row>
    <row r="161" spans="3:9" s="1" customFormat="1" x14ac:dyDescent="0.2">
      <c r="C161" s="559">
        <f>SUM(C152:C160)</f>
        <v>0</v>
      </c>
      <c r="D161" s="559">
        <f>SUM(D152:D160)</f>
        <v>0</v>
      </c>
      <c r="E161" s="559">
        <f t="shared" ref="E161:G161" si="10">SUM(E152:E160)</f>
        <v>0</v>
      </c>
      <c r="F161" s="559">
        <f t="shared" si="10"/>
        <v>0</v>
      </c>
      <c r="G161" s="559">
        <f t="shared" si="10"/>
        <v>0</v>
      </c>
      <c r="I161" s="457"/>
    </row>
    <row r="162" spans="3:9" s="1" customFormat="1" x14ac:dyDescent="0.2">
      <c r="I162" s="457"/>
    </row>
    <row r="163" spans="3:9" s="1" customFormat="1" x14ac:dyDescent="0.2">
      <c r="I163" s="457"/>
    </row>
    <row r="164" spans="3:9" s="1" customFormat="1" x14ac:dyDescent="0.2">
      <c r="I164" s="457"/>
    </row>
    <row r="165" spans="3:9" s="1" customFormat="1" x14ac:dyDescent="0.2">
      <c r="I165" s="457"/>
    </row>
    <row r="166" spans="3:9" s="1" customFormat="1" x14ac:dyDescent="0.2">
      <c r="I166" s="457"/>
    </row>
    <row r="167" spans="3:9" s="1" customFormat="1" x14ac:dyDescent="0.2">
      <c r="I167" s="457"/>
    </row>
    <row r="168" spans="3:9" s="1" customFormat="1" x14ac:dyDescent="0.2">
      <c r="I168" s="457"/>
    </row>
    <row r="169" spans="3:9" s="1" customFormat="1" x14ac:dyDescent="0.2">
      <c r="I169" s="457"/>
    </row>
    <row r="170" spans="3:9" s="1" customFormat="1" x14ac:dyDescent="0.2">
      <c r="I170" s="457"/>
    </row>
    <row r="171" spans="3:9" s="1" customFormat="1" x14ac:dyDescent="0.2">
      <c r="I171" s="457"/>
    </row>
    <row r="172" spans="3:9" s="1" customFormat="1" x14ac:dyDescent="0.2">
      <c r="I172" s="457"/>
    </row>
    <row r="173" spans="3:9" s="1" customFormat="1" x14ac:dyDescent="0.2">
      <c r="I173" s="457"/>
    </row>
    <row r="174" spans="3:9" s="1" customFormat="1" x14ac:dyDescent="0.2">
      <c r="I174" s="457"/>
    </row>
    <row r="175" spans="3:9" s="1" customFormat="1" x14ac:dyDescent="0.2">
      <c r="I175" s="457"/>
    </row>
    <row r="176" spans="3:9" s="1" customFormat="1" x14ac:dyDescent="0.2">
      <c r="I176" s="457"/>
    </row>
    <row r="177" spans="9:9" s="1" customFormat="1" x14ac:dyDescent="0.2">
      <c r="I177" s="457"/>
    </row>
    <row r="178" spans="9:9" s="1" customFormat="1" x14ac:dyDescent="0.2">
      <c r="I178" s="457"/>
    </row>
    <row r="179" spans="9:9" s="1" customFormat="1" x14ac:dyDescent="0.2">
      <c r="I179" s="457"/>
    </row>
    <row r="180" spans="9:9" s="1" customFormat="1" x14ac:dyDescent="0.2">
      <c r="I180" s="457"/>
    </row>
    <row r="181" spans="9:9" s="1" customFormat="1" x14ac:dyDescent="0.2">
      <c r="I181" s="457"/>
    </row>
    <row r="182" spans="9:9" s="1" customFormat="1" x14ac:dyDescent="0.2">
      <c r="I182" s="457"/>
    </row>
    <row r="183" spans="9:9" s="1" customFormat="1" x14ac:dyDescent="0.2">
      <c r="I183" s="457"/>
    </row>
    <row r="184" spans="9:9" s="1" customFormat="1" x14ac:dyDescent="0.2">
      <c r="I184" s="457"/>
    </row>
    <row r="185" spans="9:9" s="1" customFormat="1" x14ac:dyDescent="0.2">
      <c r="I185" s="457"/>
    </row>
    <row r="186" spans="9:9" s="1" customFormat="1" x14ac:dyDescent="0.2">
      <c r="I186" s="457"/>
    </row>
    <row r="187" spans="9:9" s="1" customFormat="1" x14ac:dyDescent="0.2">
      <c r="I187" s="457"/>
    </row>
    <row r="188" spans="9:9" s="1" customFormat="1" x14ac:dyDescent="0.2">
      <c r="I188" s="457"/>
    </row>
    <row r="189" spans="9:9" s="1" customFormat="1" x14ac:dyDescent="0.2">
      <c r="I189" s="457"/>
    </row>
    <row r="190" spans="9:9" s="1" customFormat="1" x14ac:dyDescent="0.2">
      <c r="I190" s="457"/>
    </row>
    <row r="191" spans="9:9" s="1" customFormat="1" x14ac:dyDescent="0.2">
      <c r="I191" s="457"/>
    </row>
    <row r="192" spans="9:9" s="1" customFormat="1" x14ac:dyDescent="0.2">
      <c r="I192" s="457"/>
    </row>
    <row r="193" spans="9:9" s="1" customFormat="1" x14ac:dyDescent="0.2">
      <c r="I193" s="457"/>
    </row>
    <row r="194" spans="9:9" s="1" customFormat="1" x14ac:dyDescent="0.2">
      <c r="I194" s="457"/>
    </row>
    <row r="195" spans="9:9" s="1" customFormat="1" x14ac:dyDescent="0.2">
      <c r="I195" s="457"/>
    </row>
    <row r="196" spans="9:9" s="1" customFormat="1" x14ac:dyDescent="0.2">
      <c r="I196" s="457"/>
    </row>
    <row r="197" spans="9:9" s="1" customFormat="1" x14ac:dyDescent="0.2">
      <c r="I197" s="457"/>
    </row>
    <row r="198" spans="9:9" s="1" customFormat="1" x14ac:dyDescent="0.2">
      <c r="I198" s="457"/>
    </row>
    <row r="199" spans="9:9" s="1" customFormat="1" x14ac:dyDescent="0.2">
      <c r="I199" s="457"/>
    </row>
    <row r="200" spans="9:9" s="1" customFormat="1" x14ac:dyDescent="0.2">
      <c r="I200" s="457"/>
    </row>
    <row r="201" spans="9:9" s="1" customFormat="1" x14ac:dyDescent="0.2">
      <c r="I201" s="457"/>
    </row>
    <row r="202" spans="9:9" s="1" customFormat="1" x14ac:dyDescent="0.2">
      <c r="I202" s="457"/>
    </row>
    <row r="203" spans="9:9" s="1" customFormat="1" x14ac:dyDescent="0.2">
      <c r="I203" s="457"/>
    </row>
    <row r="204" spans="9:9" s="1" customFormat="1" x14ac:dyDescent="0.2">
      <c r="I204" s="457"/>
    </row>
    <row r="205" spans="9:9" s="1" customFormat="1" x14ac:dyDescent="0.2">
      <c r="I205" s="457"/>
    </row>
    <row r="206" spans="9:9" s="1" customFormat="1" x14ac:dyDescent="0.2">
      <c r="I206" s="457"/>
    </row>
    <row r="207" spans="9:9" s="1" customFormat="1" x14ac:dyDescent="0.2">
      <c r="I207" s="457"/>
    </row>
    <row r="208" spans="9:9" s="1" customFormat="1" x14ac:dyDescent="0.2">
      <c r="I208" s="457"/>
    </row>
    <row r="209" spans="9:9" s="1" customFormat="1" x14ac:dyDescent="0.2">
      <c r="I209" s="457"/>
    </row>
    <row r="210" spans="9:9" s="1" customFormat="1" x14ac:dyDescent="0.2">
      <c r="I210" s="457"/>
    </row>
    <row r="211" spans="9:9" s="1" customFormat="1" x14ac:dyDescent="0.2">
      <c r="I211" s="457"/>
    </row>
    <row r="212" spans="9:9" s="1" customFormat="1" x14ac:dyDescent="0.2">
      <c r="I212" s="457"/>
    </row>
    <row r="213" spans="9:9" s="1" customFormat="1" x14ac:dyDescent="0.2">
      <c r="I213" s="457"/>
    </row>
    <row r="214" spans="9:9" s="1" customFormat="1" x14ac:dyDescent="0.2">
      <c r="I214" s="457"/>
    </row>
    <row r="215" spans="9:9" s="1" customFormat="1" x14ac:dyDescent="0.2">
      <c r="I215" s="457"/>
    </row>
    <row r="216" spans="9:9" s="1" customFormat="1" x14ac:dyDescent="0.2">
      <c r="I216" s="457"/>
    </row>
    <row r="217" spans="9:9" s="1" customFormat="1" x14ac:dyDescent="0.2">
      <c r="I217" s="457"/>
    </row>
    <row r="218" spans="9:9" s="1" customFormat="1" x14ac:dyDescent="0.2">
      <c r="I218" s="457"/>
    </row>
    <row r="219" spans="9:9" s="1" customFormat="1" x14ac:dyDescent="0.2">
      <c r="I219" s="457"/>
    </row>
    <row r="220" spans="9:9" s="1" customFormat="1" x14ac:dyDescent="0.2">
      <c r="I220" s="457"/>
    </row>
    <row r="221" spans="9:9" s="1" customFormat="1" x14ac:dyDescent="0.2">
      <c r="I221" s="457"/>
    </row>
    <row r="222" spans="9:9" s="1" customFormat="1" x14ac:dyDescent="0.2">
      <c r="I222" s="457"/>
    </row>
    <row r="223" spans="9:9" s="1" customFormat="1" x14ac:dyDescent="0.2">
      <c r="I223" s="457"/>
    </row>
    <row r="224" spans="9:9" s="1" customFormat="1" x14ac:dyDescent="0.2">
      <c r="I224" s="457"/>
    </row>
    <row r="225" spans="9:9" s="1" customFormat="1" x14ac:dyDescent="0.2">
      <c r="I225" s="457"/>
    </row>
    <row r="226" spans="9:9" s="1" customFormat="1" x14ac:dyDescent="0.2">
      <c r="I226" s="457"/>
    </row>
    <row r="227" spans="9:9" s="1" customFormat="1" x14ac:dyDescent="0.2">
      <c r="I227" s="457"/>
    </row>
    <row r="228" spans="9:9" s="1" customFormat="1" x14ac:dyDescent="0.2">
      <c r="I228" s="457"/>
    </row>
    <row r="229" spans="9:9" s="1" customFormat="1" x14ac:dyDescent="0.2">
      <c r="I229" s="457"/>
    </row>
    <row r="230" spans="9:9" s="1" customFormat="1" x14ac:dyDescent="0.2">
      <c r="I230" s="457"/>
    </row>
    <row r="231" spans="9:9" s="1" customFormat="1" x14ac:dyDescent="0.2">
      <c r="I231" s="457"/>
    </row>
    <row r="232" spans="9:9" s="1" customFormat="1" x14ac:dyDescent="0.2">
      <c r="I232" s="457"/>
    </row>
    <row r="233" spans="9:9" s="1" customFormat="1" x14ac:dyDescent="0.2">
      <c r="I233" s="457"/>
    </row>
    <row r="234" spans="9:9" s="1" customFormat="1" x14ac:dyDescent="0.2">
      <c r="I234" s="457"/>
    </row>
    <row r="235" spans="9:9" s="1" customFormat="1" x14ac:dyDescent="0.2">
      <c r="I235" s="457"/>
    </row>
    <row r="236" spans="9:9" s="1" customFormat="1" x14ac:dyDescent="0.2">
      <c r="I236" s="457"/>
    </row>
    <row r="237" spans="9:9" s="1" customFormat="1" x14ac:dyDescent="0.2">
      <c r="I237" s="457"/>
    </row>
    <row r="238" spans="9:9" s="1" customFormat="1" x14ac:dyDescent="0.2">
      <c r="I238" s="457"/>
    </row>
    <row r="239" spans="9:9" s="1" customFormat="1" x14ac:dyDescent="0.2">
      <c r="I239" s="457"/>
    </row>
    <row r="240" spans="9:9" s="1" customFormat="1" x14ac:dyDescent="0.2">
      <c r="I240" s="457"/>
    </row>
    <row r="241" spans="9:9" s="1" customFormat="1" x14ac:dyDescent="0.2">
      <c r="I241" s="457"/>
    </row>
    <row r="242" spans="9:9" s="1" customFormat="1" x14ac:dyDescent="0.2">
      <c r="I242" s="457"/>
    </row>
    <row r="243" spans="9:9" s="1" customFormat="1" x14ac:dyDescent="0.2">
      <c r="I243" s="457"/>
    </row>
    <row r="244" spans="9:9" s="1" customFormat="1" x14ac:dyDescent="0.2">
      <c r="I244" s="457"/>
    </row>
    <row r="245" spans="9:9" s="1" customFormat="1" x14ac:dyDescent="0.2">
      <c r="I245" s="457"/>
    </row>
    <row r="246" spans="9:9" s="1" customFormat="1" x14ac:dyDescent="0.2">
      <c r="I246" s="457"/>
    </row>
    <row r="247" spans="9:9" s="1" customFormat="1" x14ac:dyDescent="0.2">
      <c r="I247" s="457"/>
    </row>
    <row r="248" spans="9:9" s="1" customFormat="1" x14ac:dyDescent="0.2">
      <c r="I248" s="457"/>
    </row>
    <row r="249" spans="9:9" s="1" customFormat="1" x14ac:dyDescent="0.2">
      <c r="I249" s="457"/>
    </row>
    <row r="250" spans="9:9" s="1" customFormat="1" x14ac:dyDescent="0.2">
      <c r="I250" s="457"/>
    </row>
    <row r="251" spans="9:9" s="1" customFormat="1" x14ac:dyDescent="0.2">
      <c r="I251" s="457"/>
    </row>
    <row r="252" spans="9:9" s="1" customFormat="1" x14ac:dyDescent="0.2">
      <c r="I252" s="457"/>
    </row>
    <row r="253" spans="9:9" s="1" customFormat="1" x14ac:dyDescent="0.2">
      <c r="I253" s="457"/>
    </row>
    <row r="254" spans="9:9" s="1" customFormat="1" x14ac:dyDescent="0.2">
      <c r="I254" s="457"/>
    </row>
    <row r="255" spans="9:9" s="1" customFormat="1" x14ac:dyDescent="0.2">
      <c r="I255" s="457"/>
    </row>
    <row r="256" spans="9:9" s="1" customFormat="1" x14ac:dyDescent="0.2">
      <c r="I256" s="457"/>
    </row>
    <row r="257" spans="9:9" s="1" customFormat="1" x14ac:dyDescent="0.2">
      <c r="I257" s="457"/>
    </row>
    <row r="258" spans="9:9" s="1" customFormat="1" x14ac:dyDescent="0.2">
      <c r="I258" s="457"/>
    </row>
    <row r="259" spans="9:9" s="1" customFormat="1" x14ac:dyDescent="0.2">
      <c r="I259" s="457"/>
    </row>
    <row r="260" spans="9:9" s="1" customFormat="1" x14ac:dyDescent="0.2">
      <c r="I260" s="457"/>
    </row>
    <row r="261" spans="9:9" s="1" customFormat="1" x14ac:dyDescent="0.2">
      <c r="I261" s="457"/>
    </row>
    <row r="262" spans="9:9" s="1" customFormat="1" x14ac:dyDescent="0.2">
      <c r="I262" s="457"/>
    </row>
    <row r="263" spans="9:9" s="1" customFormat="1" x14ac:dyDescent="0.2">
      <c r="I263" s="457"/>
    </row>
    <row r="264" spans="9:9" s="1" customFormat="1" x14ac:dyDescent="0.2">
      <c r="I264" s="457"/>
    </row>
    <row r="265" spans="9:9" s="1" customFormat="1" x14ac:dyDescent="0.2">
      <c r="I265" s="457"/>
    </row>
    <row r="266" spans="9:9" s="1" customFormat="1" x14ac:dyDescent="0.2">
      <c r="I266" s="457"/>
    </row>
    <row r="267" spans="9:9" s="1" customFormat="1" x14ac:dyDescent="0.2">
      <c r="I267" s="457"/>
    </row>
    <row r="268" spans="9:9" s="1" customFormat="1" x14ac:dyDescent="0.2">
      <c r="I268" s="457"/>
    </row>
    <row r="269" spans="9:9" s="1" customFormat="1" x14ac:dyDescent="0.2">
      <c r="I269" s="457"/>
    </row>
    <row r="270" spans="9:9" s="1" customFormat="1" x14ac:dyDescent="0.2">
      <c r="I270" s="457"/>
    </row>
    <row r="271" spans="9:9" s="1" customFormat="1" x14ac:dyDescent="0.2">
      <c r="I271" s="457"/>
    </row>
    <row r="272" spans="9:9" s="1" customFormat="1" x14ac:dyDescent="0.2">
      <c r="I272" s="457"/>
    </row>
    <row r="273" spans="9:9" s="1" customFormat="1" x14ac:dyDescent="0.2">
      <c r="I273" s="457"/>
    </row>
    <row r="274" spans="9:9" s="1" customFormat="1" x14ac:dyDescent="0.2">
      <c r="I274" s="457"/>
    </row>
    <row r="275" spans="9:9" s="1" customFormat="1" x14ac:dyDescent="0.2">
      <c r="I275" s="457"/>
    </row>
    <row r="276" spans="9:9" s="1" customFormat="1" x14ac:dyDescent="0.2">
      <c r="I276" s="457"/>
    </row>
    <row r="277" spans="9:9" s="1" customFormat="1" x14ac:dyDescent="0.2">
      <c r="I277" s="457"/>
    </row>
    <row r="278" spans="9:9" s="1" customFormat="1" x14ac:dyDescent="0.2">
      <c r="I278" s="457"/>
    </row>
    <row r="279" spans="9:9" s="1" customFormat="1" x14ac:dyDescent="0.2">
      <c r="I279" s="457"/>
    </row>
    <row r="280" spans="9:9" s="1" customFormat="1" x14ac:dyDescent="0.2">
      <c r="I280" s="457"/>
    </row>
    <row r="281" spans="9:9" s="1" customFormat="1" x14ac:dyDescent="0.2">
      <c r="I281" s="457"/>
    </row>
    <row r="282" spans="9:9" s="1" customFormat="1" x14ac:dyDescent="0.2">
      <c r="I282" s="457"/>
    </row>
    <row r="283" spans="9:9" s="1" customFormat="1" x14ac:dyDescent="0.2">
      <c r="I283" s="457"/>
    </row>
    <row r="284" spans="9:9" s="1" customFormat="1" x14ac:dyDescent="0.2">
      <c r="I284" s="457"/>
    </row>
    <row r="285" spans="9:9" s="1" customFormat="1" x14ac:dyDescent="0.2">
      <c r="I285" s="457"/>
    </row>
    <row r="286" spans="9:9" s="1" customFormat="1" x14ac:dyDescent="0.2">
      <c r="I286" s="457"/>
    </row>
    <row r="287" spans="9:9" s="1" customFormat="1" x14ac:dyDescent="0.2">
      <c r="I287" s="457"/>
    </row>
    <row r="288" spans="9:9" s="1" customFormat="1" x14ac:dyDescent="0.2">
      <c r="I288" s="457"/>
    </row>
    <row r="289" spans="9:9" s="1" customFormat="1" x14ac:dyDescent="0.2">
      <c r="I289" s="457"/>
    </row>
    <row r="290" spans="9:9" s="1" customFormat="1" x14ac:dyDescent="0.2">
      <c r="I290" s="457"/>
    </row>
    <row r="291" spans="9:9" s="1" customFormat="1" x14ac:dyDescent="0.2">
      <c r="I291" s="457"/>
    </row>
    <row r="292" spans="9:9" s="1" customFormat="1" x14ac:dyDescent="0.2">
      <c r="I292" s="457"/>
    </row>
    <row r="293" spans="9:9" s="1" customFormat="1" x14ac:dyDescent="0.2">
      <c r="I293" s="457"/>
    </row>
    <row r="294" spans="9:9" s="1" customFormat="1" x14ac:dyDescent="0.2">
      <c r="I294" s="457"/>
    </row>
    <row r="295" spans="9:9" s="1" customFormat="1" x14ac:dyDescent="0.2">
      <c r="I295" s="457"/>
    </row>
    <row r="296" spans="9:9" s="1" customFormat="1" x14ac:dyDescent="0.2">
      <c r="I296" s="457"/>
    </row>
    <row r="297" spans="9:9" s="1" customFormat="1" x14ac:dyDescent="0.2">
      <c r="I297" s="457"/>
    </row>
    <row r="298" spans="9:9" s="1" customFormat="1" x14ac:dyDescent="0.2">
      <c r="I298" s="457"/>
    </row>
    <row r="299" spans="9:9" s="1" customFormat="1" x14ac:dyDescent="0.2">
      <c r="I299" s="457"/>
    </row>
    <row r="300" spans="9:9" s="1" customFormat="1" x14ac:dyDescent="0.2">
      <c r="I300" s="457"/>
    </row>
    <row r="301" spans="9:9" s="1" customFormat="1" x14ac:dyDescent="0.2">
      <c r="I301" s="457"/>
    </row>
    <row r="302" spans="9:9" s="1" customFormat="1" x14ac:dyDescent="0.2">
      <c r="I302" s="457"/>
    </row>
    <row r="303" spans="9:9" s="1" customFormat="1" x14ac:dyDescent="0.2">
      <c r="I303" s="457"/>
    </row>
    <row r="304" spans="9:9" s="1" customFormat="1" x14ac:dyDescent="0.2">
      <c r="I304" s="457"/>
    </row>
    <row r="305" spans="9:9" s="1" customFormat="1" x14ac:dyDescent="0.2">
      <c r="I305" s="457"/>
    </row>
    <row r="306" spans="9:9" s="1" customFormat="1" x14ac:dyDescent="0.2">
      <c r="I306" s="457"/>
    </row>
    <row r="307" spans="9:9" s="1" customFormat="1" x14ac:dyDescent="0.2">
      <c r="I307" s="457"/>
    </row>
    <row r="308" spans="9:9" s="1" customFormat="1" x14ac:dyDescent="0.2">
      <c r="I308" s="457"/>
    </row>
    <row r="309" spans="9:9" s="1" customFormat="1" x14ac:dyDescent="0.2">
      <c r="I309" s="457"/>
    </row>
    <row r="310" spans="9:9" s="1" customFormat="1" x14ac:dyDescent="0.2">
      <c r="I310" s="457"/>
    </row>
    <row r="311" spans="9:9" s="1" customFormat="1" x14ac:dyDescent="0.2">
      <c r="I311" s="457"/>
    </row>
    <row r="312" spans="9:9" s="1" customFormat="1" x14ac:dyDescent="0.2">
      <c r="I312" s="457"/>
    </row>
    <row r="313" spans="9:9" s="1" customFormat="1" x14ac:dyDescent="0.2">
      <c r="I313" s="457"/>
    </row>
    <row r="314" spans="9:9" s="1" customFormat="1" x14ac:dyDescent="0.2">
      <c r="I314" s="457"/>
    </row>
    <row r="315" spans="9:9" s="1" customFormat="1" x14ac:dyDescent="0.2">
      <c r="I315" s="457"/>
    </row>
    <row r="316" spans="9:9" s="1" customFormat="1" x14ac:dyDescent="0.2">
      <c r="I316" s="457"/>
    </row>
    <row r="317" spans="9:9" s="1" customFormat="1" x14ac:dyDescent="0.2">
      <c r="I317" s="457"/>
    </row>
    <row r="318" spans="9:9" s="1" customFormat="1" x14ac:dyDescent="0.2">
      <c r="I318" s="457"/>
    </row>
    <row r="319" spans="9:9" s="1" customFormat="1" x14ac:dyDescent="0.2">
      <c r="I319" s="457"/>
    </row>
    <row r="320" spans="9:9" s="1" customFormat="1" x14ac:dyDescent="0.2">
      <c r="I320" s="457"/>
    </row>
    <row r="321" spans="9:9" s="1" customFormat="1" x14ac:dyDescent="0.2">
      <c r="I321" s="457"/>
    </row>
    <row r="322" spans="9:9" s="1" customFormat="1" x14ac:dyDescent="0.2">
      <c r="I322" s="457"/>
    </row>
    <row r="323" spans="9:9" s="1" customFormat="1" x14ac:dyDescent="0.2">
      <c r="I323" s="457"/>
    </row>
    <row r="324" spans="9:9" s="1" customFormat="1" x14ac:dyDescent="0.2">
      <c r="I324" s="457"/>
    </row>
    <row r="325" spans="9:9" s="1" customFormat="1" x14ac:dyDescent="0.2">
      <c r="I325" s="457"/>
    </row>
    <row r="326" spans="9:9" s="1" customFormat="1" x14ac:dyDescent="0.2">
      <c r="I326" s="457"/>
    </row>
    <row r="327" spans="9:9" s="1" customFormat="1" x14ac:dyDescent="0.2">
      <c r="I327" s="457"/>
    </row>
    <row r="328" spans="9:9" s="1" customFormat="1" x14ac:dyDescent="0.2">
      <c r="I328" s="457"/>
    </row>
    <row r="329" spans="9:9" s="1" customFormat="1" x14ac:dyDescent="0.2">
      <c r="I329" s="457"/>
    </row>
    <row r="330" spans="9:9" s="1" customFormat="1" x14ac:dyDescent="0.2">
      <c r="I330" s="457"/>
    </row>
    <row r="331" spans="9:9" s="1" customFormat="1" x14ac:dyDescent="0.2">
      <c r="I331" s="457"/>
    </row>
    <row r="332" spans="9:9" s="1" customFormat="1" x14ac:dyDescent="0.2">
      <c r="I332" s="457"/>
    </row>
    <row r="333" spans="9:9" s="1" customFormat="1" x14ac:dyDescent="0.2">
      <c r="I333" s="457"/>
    </row>
    <row r="334" spans="9:9" s="1" customFormat="1" x14ac:dyDescent="0.2">
      <c r="I334" s="457"/>
    </row>
    <row r="335" spans="9:9" s="1" customFormat="1" x14ac:dyDescent="0.2">
      <c r="I335" s="457"/>
    </row>
    <row r="336" spans="9:9" s="1" customFormat="1" x14ac:dyDescent="0.2">
      <c r="I336" s="457"/>
    </row>
    <row r="337" spans="9:9" s="1" customFormat="1" x14ac:dyDescent="0.2">
      <c r="I337" s="457"/>
    </row>
    <row r="338" spans="9:9" s="1" customFormat="1" x14ac:dyDescent="0.2">
      <c r="I338" s="457"/>
    </row>
    <row r="339" spans="9:9" s="1" customFormat="1" x14ac:dyDescent="0.2">
      <c r="I339" s="457"/>
    </row>
    <row r="340" spans="9:9" s="1" customFormat="1" x14ac:dyDescent="0.2">
      <c r="I340" s="457"/>
    </row>
    <row r="341" spans="9:9" s="1" customFormat="1" x14ac:dyDescent="0.2">
      <c r="I341" s="457"/>
    </row>
    <row r="342" spans="9:9" s="1" customFormat="1" x14ac:dyDescent="0.2">
      <c r="I342" s="457"/>
    </row>
    <row r="343" spans="9:9" s="1" customFormat="1" x14ac:dyDescent="0.2">
      <c r="I343" s="457"/>
    </row>
    <row r="344" spans="9:9" s="1" customFormat="1" x14ac:dyDescent="0.2">
      <c r="I344" s="457"/>
    </row>
    <row r="345" spans="9:9" s="1" customFormat="1" x14ac:dyDescent="0.2">
      <c r="I345" s="457"/>
    </row>
    <row r="346" spans="9:9" s="1" customFormat="1" x14ac:dyDescent="0.2">
      <c r="I346" s="457"/>
    </row>
    <row r="347" spans="9:9" s="1" customFormat="1" x14ac:dyDescent="0.2">
      <c r="I347" s="457"/>
    </row>
    <row r="348" spans="9:9" s="1" customFormat="1" x14ac:dyDescent="0.2">
      <c r="I348" s="457"/>
    </row>
    <row r="349" spans="9:9" s="1" customFormat="1" x14ac:dyDescent="0.2">
      <c r="I349" s="457"/>
    </row>
    <row r="350" spans="9:9" s="1" customFormat="1" x14ac:dyDescent="0.2">
      <c r="I350" s="457"/>
    </row>
    <row r="351" spans="9:9" s="1" customFormat="1" x14ac:dyDescent="0.2">
      <c r="I351" s="457"/>
    </row>
    <row r="352" spans="9:9" s="1" customFormat="1" x14ac:dyDescent="0.2">
      <c r="I352" s="457"/>
    </row>
    <row r="353" spans="9:9" s="1" customFormat="1" x14ac:dyDescent="0.2">
      <c r="I353" s="457"/>
    </row>
    <row r="354" spans="9:9" s="1" customFormat="1" x14ac:dyDescent="0.2">
      <c r="I354" s="457"/>
    </row>
    <row r="355" spans="9:9" s="1" customFormat="1" x14ac:dyDescent="0.2">
      <c r="I355" s="457"/>
    </row>
    <row r="356" spans="9:9" s="1" customFormat="1" x14ac:dyDescent="0.2">
      <c r="I356" s="457"/>
    </row>
    <row r="357" spans="9:9" s="1" customFormat="1" x14ac:dyDescent="0.2">
      <c r="I357" s="457"/>
    </row>
    <row r="358" spans="9:9" s="1" customFormat="1" x14ac:dyDescent="0.2">
      <c r="I358" s="457"/>
    </row>
    <row r="359" spans="9:9" s="1" customFormat="1" x14ac:dyDescent="0.2">
      <c r="I359" s="457"/>
    </row>
    <row r="360" spans="9:9" s="1" customFormat="1" x14ac:dyDescent="0.2">
      <c r="I360" s="457"/>
    </row>
    <row r="361" spans="9:9" s="1" customFormat="1" x14ac:dyDescent="0.2">
      <c r="I361" s="457"/>
    </row>
    <row r="362" spans="9:9" s="1" customFormat="1" x14ac:dyDescent="0.2">
      <c r="I362" s="457"/>
    </row>
    <row r="363" spans="9:9" s="1" customFormat="1" x14ac:dyDescent="0.2">
      <c r="I363" s="457"/>
    </row>
    <row r="364" spans="9:9" s="1" customFormat="1" x14ac:dyDescent="0.2">
      <c r="I364" s="457"/>
    </row>
    <row r="365" spans="9:9" s="1" customFormat="1" x14ac:dyDescent="0.2">
      <c r="I365" s="457"/>
    </row>
    <row r="366" spans="9:9" s="1" customFormat="1" x14ac:dyDescent="0.2">
      <c r="I366" s="457"/>
    </row>
    <row r="367" spans="9:9" s="1" customFormat="1" x14ac:dyDescent="0.2">
      <c r="I367" s="457"/>
    </row>
    <row r="368" spans="9:9" s="1" customFormat="1" x14ac:dyDescent="0.2">
      <c r="I368" s="457"/>
    </row>
    <row r="369" spans="9:9" s="1" customFormat="1" x14ac:dyDescent="0.2">
      <c r="I369" s="457"/>
    </row>
    <row r="370" spans="9:9" s="1" customFormat="1" x14ac:dyDescent="0.2">
      <c r="I370" s="457"/>
    </row>
    <row r="371" spans="9:9" s="1" customFormat="1" x14ac:dyDescent="0.2">
      <c r="I371" s="457"/>
    </row>
    <row r="372" spans="9:9" s="1" customFormat="1" x14ac:dyDescent="0.2">
      <c r="I372" s="457"/>
    </row>
    <row r="373" spans="9:9" s="1" customFormat="1" x14ac:dyDescent="0.2">
      <c r="I373" s="457"/>
    </row>
    <row r="374" spans="9:9" s="1" customFormat="1" x14ac:dyDescent="0.2">
      <c r="I374" s="457"/>
    </row>
    <row r="375" spans="9:9" s="1" customFormat="1" x14ac:dyDescent="0.2">
      <c r="I375" s="457"/>
    </row>
    <row r="376" spans="9:9" s="1" customFormat="1" x14ac:dyDescent="0.2">
      <c r="I376" s="457"/>
    </row>
    <row r="377" spans="9:9" s="1" customFormat="1" x14ac:dyDescent="0.2">
      <c r="I377" s="457"/>
    </row>
    <row r="378" spans="9:9" s="1" customFormat="1" x14ac:dyDescent="0.2">
      <c r="I378" s="457"/>
    </row>
    <row r="379" spans="9:9" s="1" customFormat="1" x14ac:dyDescent="0.2">
      <c r="I379" s="457"/>
    </row>
    <row r="380" spans="9:9" s="1" customFormat="1" x14ac:dyDescent="0.2">
      <c r="I380" s="457"/>
    </row>
    <row r="381" spans="9:9" s="1" customFormat="1" x14ac:dyDescent="0.2">
      <c r="I381" s="457"/>
    </row>
    <row r="382" spans="9:9" s="1" customFormat="1" x14ac:dyDescent="0.2">
      <c r="I382" s="457"/>
    </row>
    <row r="383" spans="9:9" s="1" customFormat="1" x14ac:dyDescent="0.2">
      <c r="I383" s="457"/>
    </row>
    <row r="384" spans="9:9" s="1" customFormat="1" x14ac:dyDescent="0.2">
      <c r="I384" s="457"/>
    </row>
    <row r="385" spans="9:9" s="1" customFormat="1" x14ac:dyDescent="0.2">
      <c r="I385" s="457"/>
    </row>
    <row r="386" spans="9:9" s="1" customFormat="1" x14ac:dyDescent="0.2">
      <c r="I386" s="457"/>
    </row>
    <row r="387" spans="9:9" s="1" customFormat="1" x14ac:dyDescent="0.2">
      <c r="I387" s="457"/>
    </row>
    <row r="388" spans="9:9" s="1" customFormat="1" x14ac:dyDescent="0.2">
      <c r="I388" s="457"/>
    </row>
    <row r="389" spans="9:9" s="1" customFormat="1" x14ac:dyDescent="0.2">
      <c r="I389" s="457"/>
    </row>
    <row r="390" spans="9:9" s="1" customFormat="1" x14ac:dyDescent="0.2">
      <c r="I390" s="457"/>
    </row>
    <row r="391" spans="9:9" s="1" customFormat="1" x14ac:dyDescent="0.2">
      <c r="I391" s="457"/>
    </row>
    <row r="392" spans="9:9" s="1" customFormat="1" x14ac:dyDescent="0.2">
      <c r="I392" s="457"/>
    </row>
    <row r="393" spans="9:9" s="1" customFormat="1" x14ac:dyDescent="0.2">
      <c r="I393" s="457"/>
    </row>
    <row r="394" spans="9:9" s="1" customFormat="1" x14ac:dyDescent="0.2">
      <c r="I394" s="457"/>
    </row>
    <row r="395" spans="9:9" s="1" customFormat="1" x14ac:dyDescent="0.2">
      <c r="I395" s="457"/>
    </row>
    <row r="396" spans="9:9" s="1" customFormat="1" x14ac:dyDescent="0.2">
      <c r="I396" s="457"/>
    </row>
    <row r="397" spans="9:9" s="1" customFormat="1" x14ac:dyDescent="0.2">
      <c r="I397" s="457"/>
    </row>
  </sheetData>
  <mergeCells count="14">
    <mergeCell ref="C138:G138"/>
    <mergeCell ref="C151:G151"/>
    <mergeCell ref="C72:G72"/>
    <mergeCell ref="C84:G84"/>
    <mergeCell ref="C94:G94"/>
    <mergeCell ref="C106:G106"/>
    <mergeCell ref="C116:G116"/>
    <mergeCell ref="C128:G128"/>
    <mergeCell ref="D20:G20"/>
    <mergeCell ref="C23:G23"/>
    <mergeCell ref="C34:G34"/>
    <mergeCell ref="C40:G40"/>
    <mergeCell ref="C51:G51"/>
    <mergeCell ref="C62:G62"/>
  </mergeCells>
  <conditionalFormatting sqref="B45:B49 B29:B32">
    <cfRule type="expression" dxfId="81" priority="71">
      <formula>#REF!&lt;$H24</formula>
    </cfRule>
    <cfRule type="expression" dxfId="80" priority="72">
      <formula>#REF!&gt;$H24</formula>
    </cfRule>
  </conditionalFormatting>
  <conditionalFormatting sqref="B26:B27">
    <cfRule type="expression" dxfId="79" priority="73">
      <formula>#REF!&gt;$H$71</formula>
    </cfRule>
    <cfRule type="expression" dxfId="78" priority="74">
      <formula>#REF!&lt;$H$71</formula>
    </cfRule>
  </conditionalFormatting>
  <conditionalFormatting sqref="B43:B44">
    <cfRule type="expression" dxfId="77" priority="69">
      <formula>#REF!&gt;$H$71</formula>
    </cfRule>
    <cfRule type="expression" dxfId="76" priority="70">
      <formula>#REF!&lt;$H$71</formula>
    </cfRule>
  </conditionalFormatting>
  <conditionalFormatting sqref="B26:B27">
    <cfRule type="expression" dxfId="75" priority="75">
      <formula>#REF!&lt;$H22</formula>
    </cfRule>
    <cfRule type="expression" dxfId="74" priority="76">
      <formula>#REF!&gt;$H22</formula>
    </cfRule>
  </conditionalFormatting>
  <conditionalFormatting sqref="B41:B44">
    <cfRule type="expression" dxfId="73" priority="77">
      <formula>#REF!&lt;$H30</formula>
    </cfRule>
    <cfRule type="expression" dxfId="72" priority="78">
      <formula>#REF!&gt;$H30</formula>
    </cfRule>
  </conditionalFormatting>
  <conditionalFormatting sqref="B56:B60 B3:B6">
    <cfRule type="expression" dxfId="71" priority="65">
      <formula>#REF!&lt;$H1048574</formula>
    </cfRule>
    <cfRule type="expression" dxfId="70" priority="66">
      <formula>#REF!&gt;$H1048574</formula>
    </cfRule>
  </conditionalFormatting>
  <conditionalFormatting sqref="B54:B55">
    <cfRule type="expression" dxfId="69" priority="63">
      <formula>#REF!&gt;$H$71</formula>
    </cfRule>
    <cfRule type="expression" dxfId="68" priority="64">
      <formula>#REF!&lt;$H$71</formula>
    </cfRule>
  </conditionalFormatting>
  <conditionalFormatting sqref="B52:B55">
    <cfRule type="expression" dxfId="67" priority="67">
      <formula>#REF!&lt;$H41</formula>
    </cfRule>
    <cfRule type="expression" dxfId="66" priority="68">
      <formula>#REF!&gt;$H41</formula>
    </cfRule>
  </conditionalFormatting>
  <conditionalFormatting sqref="B67:B71">
    <cfRule type="expression" dxfId="65" priority="59">
      <formula>#REF!&lt;$H62</formula>
    </cfRule>
    <cfRule type="expression" dxfId="64" priority="60">
      <formula>#REF!&gt;$H62</formula>
    </cfRule>
  </conditionalFormatting>
  <conditionalFormatting sqref="B65:B66">
    <cfRule type="expression" dxfId="63" priority="57">
      <formula>#REF!&gt;$H$71</formula>
    </cfRule>
    <cfRule type="expression" dxfId="62" priority="58">
      <formula>#REF!&lt;$H$71</formula>
    </cfRule>
  </conditionalFormatting>
  <conditionalFormatting sqref="B63:B66">
    <cfRule type="expression" dxfId="61" priority="61">
      <formula>#REF!&lt;$H52</formula>
    </cfRule>
    <cfRule type="expression" dxfId="60" priority="62">
      <formula>#REF!&gt;$H52</formula>
    </cfRule>
  </conditionalFormatting>
  <conditionalFormatting sqref="B77:B81">
    <cfRule type="expression" dxfId="59" priority="53">
      <formula>#REF!&lt;$H72</formula>
    </cfRule>
    <cfRule type="expression" dxfId="58" priority="54">
      <formula>#REF!&gt;$H72</formula>
    </cfRule>
  </conditionalFormatting>
  <conditionalFormatting sqref="B75:B76">
    <cfRule type="expression" dxfId="57" priority="51">
      <formula>#REF!&gt;$H$71</formula>
    </cfRule>
    <cfRule type="expression" dxfId="56" priority="52">
      <formula>#REF!&lt;$H$71</formula>
    </cfRule>
  </conditionalFormatting>
  <conditionalFormatting sqref="B73:B76">
    <cfRule type="expression" dxfId="55" priority="55">
      <formula>#REF!&lt;$H62</formula>
    </cfRule>
    <cfRule type="expression" dxfId="54" priority="56">
      <formula>#REF!&gt;$H62</formula>
    </cfRule>
  </conditionalFormatting>
  <conditionalFormatting sqref="B89:B93">
    <cfRule type="expression" dxfId="53" priority="47">
      <formula>#REF!&lt;$H84</formula>
    </cfRule>
    <cfRule type="expression" dxfId="52" priority="48">
      <formula>#REF!&gt;$H84</formula>
    </cfRule>
  </conditionalFormatting>
  <conditionalFormatting sqref="B87:B88">
    <cfRule type="expression" dxfId="51" priority="45">
      <formula>#REF!&gt;$H$71</formula>
    </cfRule>
    <cfRule type="expression" dxfId="50" priority="46">
      <formula>#REF!&lt;$H$71</formula>
    </cfRule>
  </conditionalFormatting>
  <conditionalFormatting sqref="B85:B88">
    <cfRule type="expression" dxfId="49" priority="49">
      <formula>#REF!&lt;$H73</formula>
    </cfRule>
    <cfRule type="expression" dxfId="48" priority="50">
      <formula>#REF!&gt;$H73</formula>
    </cfRule>
  </conditionalFormatting>
  <conditionalFormatting sqref="B99:B103">
    <cfRule type="expression" dxfId="47" priority="41">
      <formula>#REF!&lt;$H94</formula>
    </cfRule>
    <cfRule type="expression" dxfId="46" priority="42">
      <formula>#REF!&gt;$H94</formula>
    </cfRule>
  </conditionalFormatting>
  <conditionalFormatting sqref="B97:B98">
    <cfRule type="expression" dxfId="45" priority="39">
      <formula>#REF!&gt;$H$71</formula>
    </cfRule>
    <cfRule type="expression" dxfId="44" priority="40">
      <formula>#REF!&lt;$H$71</formula>
    </cfRule>
  </conditionalFormatting>
  <conditionalFormatting sqref="B95:B98">
    <cfRule type="expression" dxfId="43" priority="43">
      <formula>#REF!&lt;$H84</formula>
    </cfRule>
    <cfRule type="expression" dxfId="42" priority="44">
      <formula>#REF!&gt;$H84</formula>
    </cfRule>
  </conditionalFormatting>
  <conditionalFormatting sqref="B111:B115">
    <cfRule type="expression" dxfId="41" priority="35">
      <formula>#REF!&lt;$H106</formula>
    </cfRule>
    <cfRule type="expression" dxfId="40" priority="36">
      <formula>#REF!&gt;$H106</formula>
    </cfRule>
  </conditionalFormatting>
  <conditionalFormatting sqref="B109:B110">
    <cfRule type="expression" dxfId="39" priority="33">
      <formula>#REF!&gt;$H$71</formula>
    </cfRule>
    <cfRule type="expression" dxfId="38" priority="34">
      <formula>#REF!&lt;$H$71</formula>
    </cfRule>
  </conditionalFormatting>
  <conditionalFormatting sqref="B107:B110">
    <cfRule type="expression" dxfId="37" priority="37">
      <formula>#REF!&lt;$H95</formula>
    </cfRule>
    <cfRule type="expression" dxfId="36" priority="38">
      <formula>#REF!&gt;$H95</formula>
    </cfRule>
  </conditionalFormatting>
  <conditionalFormatting sqref="B121:B125">
    <cfRule type="expression" dxfId="35" priority="29">
      <formula>#REF!&lt;$H116</formula>
    </cfRule>
    <cfRule type="expression" dxfId="34" priority="30">
      <formula>#REF!&gt;$H116</formula>
    </cfRule>
  </conditionalFormatting>
  <conditionalFormatting sqref="B119:B120">
    <cfRule type="expression" dxfId="33" priority="27">
      <formula>#REF!&gt;$H$71</formula>
    </cfRule>
    <cfRule type="expression" dxfId="32" priority="28">
      <formula>#REF!&lt;$H$71</formula>
    </cfRule>
  </conditionalFormatting>
  <conditionalFormatting sqref="B117:B120">
    <cfRule type="expression" dxfId="31" priority="31">
      <formula>#REF!&lt;$H106</formula>
    </cfRule>
    <cfRule type="expression" dxfId="30" priority="32">
      <formula>#REF!&gt;$H106</formula>
    </cfRule>
  </conditionalFormatting>
  <conditionalFormatting sqref="B133:B137">
    <cfRule type="expression" dxfId="29" priority="23">
      <formula>#REF!&lt;$H128</formula>
    </cfRule>
    <cfRule type="expression" dxfId="28" priority="24">
      <formula>#REF!&gt;$H128</formula>
    </cfRule>
  </conditionalFormatting>
  <conditionalFormatting sqref="B131:B132">
    <cfRule type="expression" dxfId="27" priority="21">
      <formula>#REF!&gt;$H$71</formula>
    </cfRule>
    <cfRule type="expression" dxfId="26" priority="22">
      <formula>#REF!&lt;$H$71</formula>
    </cfRule>
  </conditionalFormatting>
  <conditionalFormatting sqref="B129:B132">
    <cfRule type="expression" dxfId="25" priority="25">
      <formula>#REF!&lt;$H117</formula>
    </cfRule>
    <cfRule type="expression" dxfId="24" priority="26">
      <formula>#REF!&gt;$H117</formula>
    </cfRule>
  </conditionalFormatting>
  <conditionalFormatting sqref="B143:B147">
    <cfRule type="expression" dxfId="23" priority="17">
      <formula>#REF!&lt;$H138</formula>
    </cfRule>
    <cfRule type="expression" dxfId="22" priority="18">
      <formula>#REF!&gt;$H138</formula>
    </cfRule>
  </conditionalFormatting>
  <conditionalFormatting sqref="B141:B142">
    <cfRule type="expression" dxfId="21" priority="15">
      <formula>#REF!&gt;$H$71</formula>
    </cfRule>
    <cfRule type="expression" dxfId="20" priority="16">
      <formula>#REF!&lt;$H$71</formula>
    </cfRule>
  </conditionalFormatting>
  <conditionalFormatting sqref="B139:B142">
    <cfRule type="expression" dxfId="19" priority="19">
      <formula>#REF!&lt;$H128</formula>
    </cfRule>
    <cfRule type="expression" dxfId="18" priority="20">
      <formula>#REF!&gt;$H128</formula>
    </cfRule>
  </conditionalFormatting>
  <conditionalFormatting sqref="B156:B160">
    <cfRule type="expression" dxfId="17" priority="11">
      <formula>#REF!&lt;$H151</formula>
    </cfRule>
    <cfRule type="expression" dxfId="16" priority="12">
      <formula>#REF!&gt;$H151</formula>
    </cfRule>
  </conditionalFormatting>
  <conditionalFormatting sqref="B154:B155">
    <cfRule type="expression" dxfId="15" priority="9">
      <formula>#REF!&gt;$H$71</formula>
    </cfRule>
    <cfRule type="expression" dxfId="14" priority="10">
      <formula>#REF!&lt;$H$71</formula>
    </cfRule>
  </conditionalFormatting>
  <conditionalFormatting sqref="B152:B155">
    <cfRule type="expression" dxfId="13" priority="13">
      <formula>#REF!&lt;$H143</formula>
    </cfRule>
    <cfRule type="expression" dxfId="12" priority="14">
      <formula>#REF!&gt;$H143</formula>
    </cfRule>
  </conditionalFormatting>
  <conditionalFormatting sqref="B7:B11">
    <cfRule type="expression" dxfId="11" priority="5">
      <formula>#REF!&lt;$I3</formula>
    </cfRule>
    <cfRule type="expression" dxfId="10" priority="6">
      <formula>#REF!&gt;$I3</formula>
    </cfRule>
  </conditionalFormatting>
  <conditionalFormatting sqref="B5:B6">
    <cfRule type="expression" dxfId="9" priority="7">
      <formula>#REF!&gt;$H$71</formula>
    </cfRule>
    <cfRule type="expression" dxfId="8" priority="8">
      <formula>#REF!&lt;$H$71</formula>
    </cfRule>
  </conditionalFormatting>
  <conditionalFormatting sqref="B28">
    <cfRule type="expression" dxfId="7" priority="79">
      <formula>#REF!&lt;#REF!</formula>
    </cfRule>
    <cfRule type="expression" dxfId="6" priority="80">
      <formula>#REF!&gt;#REF!</formula>
    </cfRule>
  </conditionalFormatting>
  <conditionalFormatting sqref="C33:G33">
    <cfRule type="cellIs" dxfId="5" priority="4" operator="notEqual">
      <formula>0</formula>
    </cfRule>
  </conditionalFormatting>
  <conditionalFormatting sqref="C39:G39">
    <cfRule type="cellIs" dxfId="4" priority="3" operator="notEqual">
      <formula>1</formula>
    </cfRule>
  </conditionalFormatting>
  <conditionalFormatting sqref="B24:B25">
    <cfRule type="expression" dxfId="3" priority="81">
      <formula>#REF!&lt;$H19</formula>
    </cfRule>
    <cfRule type="expression" dxfId="2" priority="82">
      <formula>#REF!&gt;$H19</formula>
    </cfRule>
  </conditionalFormatting>
  <conditionalFormatting sqref="G24:G32 G35:G38 G41:G49 G52:G60 G63:G71 G73:G82 G85:G93 G95:G104 G107:G115 G117:G126 G129:G137 G139:G148 G152:G161">
    <cfRule type="expression" dxfId="1" priority="2">
      <formula>$F$21=1</formula>
    </cfRule>
  </conditionalFormatting>
  <conditionalFormatting sqref="G21">
    <cfRule type="expression" dxfId="0" priority="1">
      <formula>$F$21=1</formula>
    </cfRule>
  </conditionalFormatting>
  <dataValidations count="2">
    <dataValidation type="list" allowBlank="1" showDropDown="1" showInputMessage="1" showErrorMessage="1" error="Αποδεκτή τιμή: 100%" sqref="G21" xr:uid="{568D0FC0-3557-46E8-AC9A-F056711EDCD7}">
      <formula1>"1"</formula1>
    </dataValidation>
    <dataValidation type="decimal" allowBlank="1" showInputMessage="1" showErrorMessage="1" error="Αποδεκτές τιμές: 0 - 100%" sqref="D21:F21" xr:uid="{59A11DCD-BE00-453B-9844-EB3BDE734244}">
      <formula1>0</formula1>
      <formula2>1</formula2>
    </dataValidation>
  </dataValidations>
  <pageMargins left="0.7" right="0.7" top="0.75" bottom="0.75"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07438-8073-4B42-A966-0613FD5045CD}">
  <sheetPr>
    <tabColor theme="6" tint="-0.249977111117893"/>
  </sheetPr>
  <dimension ref="A1:Q56"/>
  <sheetViews>
    <sheetView zoomScale="85" zoomScaleNormal="85" workbookViewId="0">
      <selection activeCell="F23" sqref="F23"/>
    </sheetView>
  </sheetViews>
  <sheetFormatPr defaultColWidth="9.140625" defaultRowHeight="12" x14ac:dyDescent="0.2"/>
  <cols>
    <col min="1" max="1" width="2.5703125" style="374" customWidth="1"/>
    <col min="2" max="5" width="8.42578125" style="374" customWidth="1"/>
    <col min="6" max="8" width="15.28515625" style="374" customWidth="1"/>
    <col min="9" max="11" width="11.7109375" style="374" customWidth="1"/>
    <col min="12" max="12" width="12.28515625" style="374" customWidth="1"/>
    <col min="13" max="14" width="12" style="374" customWidth="1"/>
    <col min="15" max="15" width="9" style="381" customWidth="1"/>
    <col min="16" max="16" width="10.28515625" style="374" customWidth="1"/>
    <col min="17" max="16384" width="9.140625" style="374"/>
  </cols>
  <sheetData>
    <row r="1" spans="1:17" x14ac:dyDescent="0.2">
      <c r="B1" s="375"/>
      <c r="C1" s="375"/>
      <c r="D1" s="376" t="s">
        <v>124</v>
      </c>
      <c r="E1" s="377"/>
      <c r="F1" s="378">
        <f>[1]Results_Main!C43</f>
        <v>741784817.62</v>
      </c>
      <c r="G1" s="375"/>
      <c r="H1" s="379" t="s">
        <v>125</v>
      </c>
      <c r="I1" s="376">
        <v>2020</v>
      </c>
      <c r="J1" s="375">
        <v>2019</v>
      </c>
      <c r="K1" s="375">
        <v>2018</v>
      </c>
      <c r="L1" s="375">
        <v>2017</v>
      </c>
      <c r="M1" s="380" t="s">
        <v>126</v>
      </c>
      <c r="N1" s="380" t="s">
        <v>127</v>
      </c>
      <c r="P1" s="380" t="s">
        <v>128</v>
      </c>
      <c r="Q1" s="382" t="s">
        <v>129</v>
      </c>
    </row>
    <row r="2" spans="1:17" x14ac:dyDescent="0.2">
      <c r="B2" s="375"/>
      <c r="C2" s="375"/>
      <c r="D2" s="376" t="s">
        <v>130</v>
      </c>
      <c r="E2" s="383">
        <v>0.4</v>
      </c>
      <c r="F2" s="378">
        <f>$F$1*E2</f>
        <v>296713927.04800004</v>
      </c>
      <c r="G2" s="375"/>
      <c r="H2" s="376" t="s">
        <v>71</v>
      </c>
      <c r="I2" s="384">
        <f>'[3]2012-2020'!B19</f>
        <v>0.21494973154158609</v>
      </c>
      <c r="J2" s="384">
        <f>'[3]2012-2020'!C19</f>
        <v>0.21660523700837142</v>
      </c>
      <c r="K2" s="384">
        <f>'[3]2012-2020'!D19</f>
        <v>0.23362183901612266</v>
      </c>
      <c r="L2" s="384">
        <f>'[3]2012-2020'!E19</f>
        <v>0.2103295949121875</v>
      </c>
      <c r="M2" s="385">
        <f>AVERAGE(J2:L2)</f>
        <v>0.22018555697889386</v>
      </c>
      <c r="N2" s="385">
        <f>M2</f>
        <v>0.22018555697889386</v>
      </c>
      <c r="P2" s="385">
        <f>'[3]2012-2020'!$K$7</f>
        <v>0.22013607366336224</v>
      </c>
    </row>
    <row r="3" spans="1:17" x14ac:dyDescent="0.2">
      <c r="B3" s="375"/>
      <c r="C3" s="375"/>
      <c r="D3" s="376" t="s">
        <v>131</v>
      </c>
      <c r="E3" s="383">
        <f>1-E2</f>
        <v>0.6</v>
      </c>
      <c r="F3" s="378">
        <f>$F$1*E3</f>
        <v>445070890.57199997</v>
      </c>
      <c r="G3" s="375"/>
      <c r="H3" s="376" t="s">
        <v>75</v>
      </c>
      <c r="I3" s="384">
        <f>'[3]2012-2020'!B20</f>
        <v>0.78505026845841397</v>
      </c>
      <c r="J3" s="384">
        <f>'[3]2012-2020'!C20</f>
        <v>0.78339476299162858</v>
      </c>
      <c r="K3" s="384">
        <f>'[3]2012-2020'!D20</f>
        <v>0.76637816098387734</v>
      </c>
      <c r="L3" s="384">
        <f>'[3]2012-2020'!E20</f>
        <v>0.78967040508781261</v>
      </c>
      <c r="M3" s="385">
        <f>AVERAGE(J3:L3)</f>
        <v>0.77981444302110614</v>
      </c>
      <c r="N3" s="385">
        <f>M3</f>
        <v>0.77981444302110614</v>
      </c>
      <c r="P3" s="385">
        <f>'[3]2012-2020'!$K$8</f>
        <v>0.7798639263366377</v>
      </c>
    </row>
    <row r="5" spans="1:17" ht="15" x14ac:dyDescent="0.25">
      <c r="A5" s="390" t="s">
        <v>145</v>
      </c>
      <c r="B5" s="391"/>
      <c r="C5" s="391"/>
      <c r="D5" s="391"/>
      <c r="E5" s="391"/>
      <c r="F5" s="391"/>
      <c r="G5" s="391"/>
      <c r="H5" s="391"/>
      <c r="I5" s="391"/>
      <c r="J5" s="391"/>
      <c r="K5" s="391"/>
      <c r="L5" s="391"/>
      <c r="M5" s="391"/>
    </row>
    <row r="7" spans="1:17" ht="13.5" x14ac:dyDescent="0.2">
      <c r="F7" s="392" t="s">
        <v>146</v>
      </c>
      <c r="G7" s="393"/>
      <c r="H7" s="394"/>
      <c r="I7" s="392" t="s">
        <v>147</v>
      </c>
      <c r="J7" s="393"/>
      <c r="K7" s="393"/>
      <c r="L7" s="394"/>
      <c r="M7" s="395"/>
      <c r="N7" s="381"/>
      <c r="O7" s="374"/>
    </row>
    <row r="8" spans="1:17" ht="24" x14ac:dyDescent="0.2">
      <c r="A8" s="386"/>
      <c r="B8" s="387"/>
      <c r="C8" s="386"/>
      <c r="D8" s="386"/>
      <c r="F8" s="396" t="s">
        <v>134</v>
      </c>
      <c r="G8" s="397" t="s">
        <v>148</v>
      </c>
      <c r="H8" s="398" t="s">
        <v>135</v>
      </c>
      <c r="I8" s="399" t="s">
        <v>132</v>
      </c>
      <c r="J8" s="400" t="s">
        <v>133</v>
      </c>
      <c r="K8" s="400" t="s">
        <v>91</v>
      </c>
      <c r="L8" s="401" t="s">
        <v>149</v>
      </c>
      <c r="M8" s="402" t="s">
        <v>150</v>
      </c>
      <c r="N8" s="381"/>
      <c r="O8" s="374"/>
    </row>
    <row r="9" spans="1:17" x14ac:dyDescent="0.2">
      <c r="A9" s="388">
        <v>1</v>
      </c>
      <c r="B9" s="389" t="s">
        <v>136</v>
      </c>
      <c r="C9" s="377"/>
      <c r="D9" s="377"/>
      <c r="E9" s="377"/>
      <c r="F9" s="403">
        <f>[1]Categories!V6</f>
        <v>188387</v>
      </c>
      <c r="G9" s="404">
        <f>[1]Categories!X6</f>
        <v>4745.3</v>
      </c>
      <c r="H9" s="405">
        <f>[1]Categories!T6</f>
        <v>1084716.8740000001</v>
      </c>
      <c r="I9" s="406">
        <v>0</v>
      </c>
      <c r="J9" s="407">
        <v>0</v>
      </c>
      <c r="K9" s="408">
        <f t="shared" ref="K9:K17" si="0">I9+J9</f>
        <v>0</v>
      </c>
      <c r="L9" s="409">
        <f>K9/$F$1</f>
        <v>0</v>
      </c>
      <c r="M9" s="410">
        <f>K9/H9</f>
        <v>0</v>
      </c>
      <c r="N9" s="381"/>
      <c r="O9" s="374"/>
    </row>
    <row r="10" spans="1:17" x14ac:dyDescent="0.2">
      <c r="A10" s="388">
        <v>2</v>
      </c>
      <c r="B10" s="389" t="s">
        <v>137</v>
      </c>
      <c r="C10" s="377"/>
      <c r="D10" s="377"/>
      <c r="E10" s="377"/>
      <c r="F10" s="403">
        <f>[1]Categories!V7</f>
        <v>1284655</v>
      </c>
      <c r="G10" s="404">
        <f>[1]Categories!X7</f>
        <v>22261.119999999999</v>
      </c>
      <c r="H10" s="405">
        <f>[1]Categories!T7</f>
        <v>7813531.017</v>
      </c>
      <c r="I10" s="411">
        <f>$M$3*$F$2*H10/SUM($H$10:$H$13,$H$15)</f>
        <v>59271888.445341215</v>
      </c>
      <c r="J10" s="408">
        <f>$F$3*H10/SUM($H$10:$H$13,$H$15)</f>
        <v>114011523.4639293</v>
      </c>
      <c r="K10" s="408">
        <f t="shared" si="0"/>
        <v>173283411.90927052</v>
      </c>
      <c r="L10" s="409">
        <f t="shared" ref="L10:L17" si="1">K10/$F$1</f>
        <v>0.23360334128332053</v>
      </c>
      <c r="M10" s="410">
        <f t="shared" ref="M10:M17" si="2">K10/H10</f>
        <v>22.177349975607132</v>
      </c>
      <c r="N10" s="381"/>
      <c r="O10" s="374"/>
    </row>
    <row r="11" spans="1:17" x14ac:dyDescent="0.2">
      <c r="A11" s="388">
        <v>3</v>
      </c>
      <c r="B11" s="388" t="s">
        <v>138</v>
      </c>
      <c r="C11" s="377"/>
      <c r="D11" s="377"/>
      <c r="E11" s="377"/>
      <c r="F11" s="403">
        <f>[1]Categories!V8</f>
        <v>45843</v>
      </c>
      <c r="G11" s="404">
        <f>[1]Categories!X8</f>
        <v>1057.575</v>
      </c>
      <c r="H11" s="405">
        <f>[1]Categories!T8</f>
        <v>462291.32</v>
      </c>
      <c r="I11" s="411">
        <f>$M$3*$F$2*H11/SUM($H$10:$H$13,$H$15)</f>
        <v>3506849.7825980461</v>
      </c>
      <c r="J11" s="408">
        <f>$F$3*H11/SUM($H$10:$H$13,$H$15)</f>
        <v>6745546.6117273429</v>
      </c>
      <c r="K11" s="408">
        <f t="shared" si="0"/>
        <v>10252396.394325389</v>
      </c>
      <c r="L11" s="409">
        <f t="shared" si="1"/>
        <v>1.3821254022453537E-2</v>
      </c>
      <c r="M11" s="410">
        <f t="shared" si="2"/>
        <v>22.177349975607132</v>
      </c>
      <c r="N11" s="381"/>
      <c r="O11" s="374"/>
    </row>
    <row r="12" spans="1:17" x14ac:dyDescent="0.2">
      <c r="A12" s="388">
        <v>4</v>
      </c>
      <c r="B12" s="388" t="s">
        <v>139</v>
      </c>
      <c r="C12" s="377"/>
      <c r="D12" s="377"/>
      <c r="E12" s="377"/>
      <c r="F12" s="403">
        <f>[1]Categories!V9</f>
        <v>95877</v>
      </c>
      <c r="G12" s="404">
        <f>[1]Categories!X9</f>
        <v>1117.53</v>
      </c>
      <c r="H12" s="405">
        <f>[1]Categories!T9</f>
        <v>801775.995</v>
      </c>
      <c r="I12" s="411">
        <f>$M$3*$F$2*H12/SUM($H$10:$H$13,$H$15)</f>
        <v>6082112.8412233256</v>
      </c>
      <c r="J12" s="408">
        <f>$F$3*H12/SUM($H$10:$H$13,$H$15)</f>
        <v>11699154.001932306</v>
      </c>
      <c r="K12" s="408">
        <f t="shared" si="0"/>
        <v>17781266.84315563</v>
      </c>
      <c r="L12" s="409">
        <f t="shared" si="1"/>
        <v>2.3970923131328606E-2</v>
      </c>
      <c r="M12" s="410">
        <f t="shared" si="2"/>
        <v>22.177349975607129</v>
      </c>
      <c r="N12" s="381"/>
      <c r="O12" s="374"/>
    </row>
    <row r="13" spans="1:17" x14ac:dyDescent="0.2">
      <c r="A13" s="388">
        <v>5</v>
      </c>
      <c r="B13" s="388" t="s">
        <v>140</v>
      </c>
      <c r="C13" s="377"/>
      <c r="D13" s="377"/>
      <c r="E13" s="377"/>
      <c r="F13" s="403">
        <f>[1]Categories!V10</f>
        <v>5793317</v>
      </c>
      <c r="G13" s="404">
        <f>[1]Categories!X10</f>
        <v>75568.804999999993</v>
      </c>
      <c r="H13" s="405">
        <f>[1]Categories!T10</f>
        <v>17618550.182999998</v>
      </c>
      <c r="I13" s="411">
        <f>$M$3*$F$2*H13/SUM($H$10:$H$13,$H$15)</f>
        <v>133650808.92919709</v>
      </c>
      <c r="J13" s="408">
        <f>$F$3*H13/SUM($H$10:$H$13,$H$15)</f>
        <v>257081944.54199094</v>
      </c>
      <c r="K13" s="408">
        <f t="shared" si="0"/>
        <v>390732753.47118801</v>
      </c>
      <c r="L13" s="409">
        <f t="shared" si="1"/>
        <v>0.52674676562516509</v>
      </c>
      <c r="M13" s="410">
        <f t="shared" si="2"/>
        <v>22.177349975607129</v>
      </c>
      <c r="N13" s="381"/>
      <c r="O13" s="374"/>
    </row>
    <row r="14" spans="1:17" x14ac:dyDescent="0.2">
      <c r="A14" s="388">
        <v>6</v>
      </c>
      <c r="B14" s="388" t="s">
        <v>141</v>
      </c>
      <c r="C14" s="377"/>
      <c r="D14" s="377"/>
      <c r="E14" s="377"/>
      <c r="F14" s="403">
        <f>[1]Categories!V11</f>
        <v>18192</v>
      </c>
      <c r="G14" s="404">
        <f>[1]Categories!X11</f>
        <v>2106.4699999999998</v>
      </c>
      <c r="H14" s="405">
        <f>[1]Categories!T11</f>
        <v>813320.67</v>
      </c>
      <c r="I14" s="406">
        <v>0</v>
      </c>
      <c r="J14" s="407">
        <v>0</v>
      </c>
      <c r="K14" s="408">
        <f t="shared" si="0"/>
        <v>0</v>
      </c>
      <c r="L14" s="409">
        <f t="shared" si="1"/>
        <v>0</v>
      </c>
      <c r="M14" s="410">
        <f t="shared" si="2"/>
        <v>0</v>
      </c>
      <c r="N14" s="381"/>
      <c r="O14" s="374"/>
    </row>
    <row r="15" spans="1:17" x14ac:dyDescent="0.2">
      <c r="A15" s="388">
        <v>7</v>
      </c>
      <c r="B15" s="388" t="s">
        <v>142</v>
      </c>
      <c r="C15" s="377"/>
      <c r="D15" s="377"/>
      <c r="E15" s="377"/>
      <c r="F15" s="403">
        <f>[1]Categories!V12</f>
        <v>38729</v>
      </c>
      <c r="G15" s="404">
        <f>[1]Categories!X12</f>
        <v>4814.05</v>
      </c>
      <c r="H15" s="405">
        <f>[1]Categories!T12</f>
        <v>3805813.9410000001</v>
      </c>
      <c r="I15" s="411">
        <f>$M$3*$F$2*H15/SUM($H$10:$H$13,$H$15)</f>
        <v>28870145.759181596</v>
      </c>
      <c r="J15" s="408">
        <f>$F$3*H15/SUM($H$10:$H$13,$H$15)</f>
        <v>55532721.952420034</v>
      </c>
      <c r="K15" s="408">
        <f t="shared" si="0"/>
        <v>84402867.71160163</v>
      </c>
      <c r="L15" s="409">
        <f t="shared" si="1"/>
        <v>0.11378349314617457</v>
      </c>
      <c r="M15" s="410">
        <f t="shared" si="2"/>
        <v>22.177349975607129</v>
      </c>
      <c r="N15" s="381"/>
      <c r="O15" s="374"/>
    </row>
    <row r="16" spans="1:17" x14ac:dyDescent="0.2">
      <c r="A16" s="388">
        <v>8</v>
      </c>
      <c r="B16" s="388" t="s">
        <v>143</v>
      </c>
      <c r="C16" s="377"/>
      <c r="D16" s="377"/>
      <c r="E16" s="377"/>
      <c r="F16" s="403">
        <f>[1]Categories!V13</f>
        <v>532</v>
      </c>
      <c r="G16" s="404">
        <f>[1]Categories!X13</f>
        <v>557.97500000000002</v>
      </c>
      <c r="H16" s="405">
        <f>[1]Categories!T13</f>
        <v>392829.33299999998</v>
      </c>
      <c r="I16" s="406">
        <v>0</v>
      </c>
      <c r="J16" s="407">
        <v>0</v>
      </c>
      <c r="K16" s="408">
        <f t="shared" si="0"/>
        <v>0</v>
      </c>
      <c r="L16" s="409">
        <f t="shared" si="1"/>
        <v>0</v>
      </c>
      <c r="M16" s="410">
        <f t="shared" si="2"/>
        <v>0</v>
      </c>
      <c r="N16" s="381"/>
      <c r="O16" s="374"/>
    </row>
    <row r="17" spans="1:15" ht="12.75" thickBot="1" x14ac:dyDescent="0.25">
      <c r="A17" s="388">
        <v>9</v>
      </c>
      <c r="B17" s="388" t="s">
        <v>144</v>
      </c>
      <c r="C17" s="377"/>
      <c r="D17" s="377"/>
      <c r="E17" s="377"/>
      <c r="F17" s="412">
        <f>[1]Categories!V14</f>
        <v>11218</v>
      </c>
      <c r="G17" s="413">
        <f>[1]Categories!X14</f>
        <v>8074.585</v>
      </c>
      <c r="H17" s="414">
        <f>[1]Categories!T14</f>
        <v>10607170.666999999</v>
      </c>
      <c r="I17" s="415">
        <f>$M$2*$F$2</f>
        <v>65332121.290458769</v>
      </c>
      <c r="J17" s="416">
        <v>0</v>
      </c>
      <c r="K17" s="417">
        <f t="shared" si="0"/>
        <v>65332121.290458769</v>
      </c>
      <c r="L17" s="418">
        <f t="shared" si="1"/>
        <v>8.8074222791557549E-2</v>
      </c>
      <c r="M17" s="419">
        <f t="shared" si="2"/>
        <v>6.1592410777092264</v>
      </c>
      <c r="N17" s="381"/>
      <c r="O17" s="374"/>
    </row>
    <row r="18" spans="1:15" ht="13.5" x14ac:dyDescent="0.2">
      <c r="F18" s="420"/>
      <c r="G18" s="421" t="s">
        <v>151</v>
      </c>
      <c r="H18" s="422"/>
      <c r="I18" s="423">
        <f>SUM(I9:I17)</f>
        <v>296713927.04800004</v>
      </c>
      <c r="J18" s="423">
        <f>SUM(J9:J17)</f>
        <v>445070890.57199997</v>
      </c>
      <c r="K18" s="423">
        <f>I18+J18</f>
        <v>741784817.62</v>
      </c>
    </row>
    <row r="19" spans="1:15" ht="12.75" thickBot="1" x14ac:dyDescent="0.25">
      <c r="A19" s="388">
        <v>9</v>
      </c>
      <c r="B19" s="388" t="s">
        <v>144</v>
      </c>
      <c r="C19" s="377"/>
      <c r="D19" s="377"/>
      <c r="E19" s="377"/>
      <c r="F19" s="424"/>
      <c r="G19" s="425">
        <v>27940.321</v>
      </c>
      <c r="H19" s="426"/>
      <c r="I19" s="423"/>
      <c r="J19" s="423"/>
      <c r="K19" s="423"/>
    </row>
    <row r="20" spans="1:15" ht="13.5" customHeight="1" thickBot="1" x14ac:dyDescent="0.25">
      <c r="K20" s="427" t="s">
        <v>152</v>
      </c>
      <c r="L20" s="427"/>
      <c r="M20" s="427"/>
    </row>
    <row r="21" spans="1:15" ht="24.75" thickBot="1" x14ac:dyDescent="0.25">
      <c r="F21" s="428" t="s">
        <v>153</v>
      </c>
      <c r="G21" s="429" t="s">
        <v>154</v>
      </c>
      <c r="H21" s="429" t="s">
        <v>155</v>
      </c>
      <c r="I21" s="430" t="s">
        <v>156</v>
      </c>
      <c r="J21" s="431" t="s">
        <v>157</v>
      </c>
      <c r="K21" s="432" t="s">
        <v>158</v>
      </c>
      <c r="L21" s="432" t="s">
        <v>159</v>
      </c>
      <c r="M21" s="431" t="s">
        <v>160</v>
      </c>
    </row>
    <row r="22" spans="1:15" ht="12.75" x14ac:dyDescent="0.2">
      <c r="A22" s="388">
        <v>1</v>
      </c>
      <c r="B22" s="389" t="s">
        <v>136</v>
      </c>
      <c r="C22" s="377"/>
      <c r="D22" s="377"/>
      <c r="E22" s="377"/>
      <c r="F22" s="433">
        <f t="shared" ref="F22:F30" si="3">L9</f>
        <v>0</v>
      </c>
      <c r="G22" s="434">
        <v>0</v>
      </c>
      <c r="H22" s="434">
        <v>0</v>
      </c>
      <c r="I22" s="435">
        <v>0</v>
      </c>
      <c r="J22" s="436">
        <f>[1]Results_Main!L19</f>
        <v>1</v>
      </c>
      <c r="K22" s="437">
        <f t="shared" ref="K22:K30" si="4">$F22*$F$1*G22/G9/1000</f>
        <v>0</v>
      </c>
      <c r="M22" s="438">
        <f t="shared" ref="M22:M30" si="5">$F22*$F$1*I22/H9*J22/10</f>
        <v>0</v>
      </c>
    </row>
    <row r="23" spans="1:15" ht="12.75" x14ac:dyDescent="0.2">
      <c r="A23" s="388">
        <v>2</v>
      </c>
      <c r="B23" s="389" t="s">
        <v>137</v>
      </c>
      <c r="C23" s="377"/>
      <c r="D23" s="377"/>
      <c r="E23" s="377"/>
      <c r="F23" s="433">
        <f t="shared" si="3"/>
        <v>0.23360334128332053</v>
      </c>
      <c r="G23" s="439">
        <v>0.2</v>
      </c>
      <c r="H23" s="439">
        <v>0</v>
      </c>
      <c r="I23" s="440">
        <v>0.8</v>
      </c>
      <c r="J23" s="441">
        <f>[1]Results_Main!L20</f>
        <v>1</v>
      </c>
      <c r="K23" s="442">
        <f t="shared" si="4"/>
        <v>1.5568256395839073</v>
      </c>
      <c r="M23" s="443">
        <f t="shared" si="5"/>
        <v>1.7741879980485709</v>
      </c>
    </row>
    <row r="24" spans="1:15" ht="12.75" x14ac:dyDescent="0.2">
      <c r="A24" s="388">
        <v>3</v>
      </c>
      <c r="B24" s="388" t="s">
        <v>138</v>
      </c>
      <c r="C24" s="377"/>
      <c r="D24" s="377"/>
      <c r="E24" s="377"/>
      <c r="F24" s="433">
        <f t="shared" si="3"/>
        <v>1.3821254022453537E-2</v>
      </c>
      <c r="G24" s="439">
        <v>0.2</v>
      </c>
      <c r="H24" s="439">
        <v>0</v>
      </c>
      <c r="I24" s="440">
        <v>0.8</v>
      </c>
      <c r="J24" s="441">
        <f>[1]Results_Main!L21</f>
        <v>1</v>
      </c>
      <c r="K24" s="442">
        <f t="shared" si="4"/>
        <v>1.9388499906532186</v>
      </c>
      <c r="M24" s="443">
        <f t="shared" si="5"/>
        <v>1.7741879980485706</v>
      </c>
    </row>
    <row r="25" spans="1:15" ht="12.75" x14ac:dyDescent="0.2">
      <c r="A25" s="388">
        <v>4</v>
      </c>
      <c r="B25" s="388" t="s">
        <v>139</v>
      </c>
      <c r="C25" s="377"/>
      <c r="D25" s="377"/>
      <c r="E25" s="377"/>
      <c r="F25" s="433">
        <f t="shared" si="3"/>
        <v>2.3970923131328606E-2</v>
      </c>
      <c r="G25" s="439">
        <v>0.2</v>
      </c>
      <c r="H25" s="439">
        <v>0</v>
      </c>
      <c r="I25" s="440">
        <v>0.8</v>
      </c>
      <c r="J25" s="441">
        <f>[1]Results_Main!L22</f>
        <v>1</v>
      </c>
      <c r="K25" s="442">
        <f t="shared" si="4"/>
        <v>3.1822442069842656</v>
      </c>
      <c r="M25" s="443">
        <f t="shared" si="5"/>
        <v>1.7741879980485702</v>
      </c>
    </row>
    <row r="26" spans="1:15" ht="12.75" x14ac:dyDescent="0.2">
      <c r="A26" s="388">
        <v>5</v>
      </c>
      <c r="B26" s="388" t="s">
        <v>140</v>
      </c>
      <c r="C26" s="377"/>
      <c r="D26" s="377"/>
      <c r="E26" s="377"/>
      <c r="F26" s="433">
        <f t="shared" si="3"/>
        <v>0.52674676562516509</v>
      </c>
      <c r="G26" s="439">
        <v>0.1</v>
      </c>
      <c r="H26" s="439">
        <v>0</v>
      </c>
      <c r="I26" s="440">
        <v>0.9</v>
      </c>
      <c r="J26" s="441">
        <f>[1]Results_Main!L23</f>
        <v>1</v>
      </c>
      <c r="K26" s="442">
        <f t="shared" si="4"/>
        <v>0.51705562033326835</v>
      </c>
      <c r="M26" s="443">
        <f t="shared" si="5"/>
        <v>1.9959614978046414</v>
      </c>
    </row>
    <row r="27" spans="1:15" ht="12.75" x14ac:dyDescent="0.2">
      <c r="A27" s="388">
        <v>6</v>
      </c>
      <c r="B27" s="388" t="s">
        <v>141</v>
      </c>
      <c r="C27" s="377"/>
      <c r="D27" s="377"/>
      <c r="E27" s="377"/>
      <c r="F27" s="433">
        <f t="shared" si="3"/>
        <v>0</v>
      </c>
      <c r="G27" s="439">
        <v>0</v>
      </c>
      <c r="H27" s="439">
        <v>0</v>
      </c>
      <c r="I27" s="440">
        <v>0</v>
      </c>
      <c r="J27" s="443">
        <f>[1]Results_Main!L24</f>
        <v>0.93779640577969836</v>
      </c>
      <c r="K27" s="442">
        <f t="shared" si="4"/>
        <v>0</v>
      </c>
      <c r="M27" s="443">
        <f t="shared" si="5"/>
        <v>0</v>
      </c>
    </row>
    <row r="28" spans="1:15" ht="12.75" x14ac:dyDescent="0.2">
      <c r="A28" s="388">
        <v>7</v>
      </c>
      <c r="B28" s="388" t="s">
        <v>142</v>
      </c>
      <c r="C28" s="377"/>
      <c r="D28" s="377"/>
      <c r="E28" s="377"/>
      <c r="F28" s="433">
        <f t="shared" si="3"/>
        <v>0.11378349314617457</v>
      </c>
      <c r="G28" s="439">
        <v>0.2</v>
      </c>
      <c r="H28" s="439">
        <v>0</v>
      </c>
      <c r="I28" s="440">
        <v>0.8</v>
      </c>
      <c r="J28" s="443">
        <f>[1]Results_Main!L25</f>
        <v>0.95644097663732275</v>
      </c>
      <c r="K28" s="442">
        <f t="shared" si="4"/>
        <v>3.5065222717504647</v>
      </c>
      <c r="M28" s="443">
        <f t="shared" si="5"/>
        <v>1.6969061015917912</v>
      </c>
    </row>
    <row r="29" spans="1:15" ht="12.75" x14ac:dyDescent="0.2">
      <c r="A29" s="388">
        <v>8</v>
      </c>
      <c r="B29" s="388" t="s">
        <v>143</v>
      </c>
      <c r="C29" s="377"/>
      <c r="D29" s="377"/>
      <c r="E29" s="377"/>
      <c r="F29" s="433">
        <f t="shared" si="3"/>
        <v>0</v>
      </c>
      <c r="G29" s="439">
        <v>0</v>
      </c>
      <c r="H29" s="439">
        <v>0</v>
      </c>
      <c r="I29" s="440">
        <v>0</v>
      </c>
      <c r="J29" s="443">
        <f>[1]Results_Main!L26</f>
        <v>0.87887768998231797</v>
      </c>
      <c r="K29" s="442">
        <f t="shared" si="4"/>
        <v>0</v>
      </c>
      <c r="M29" s="443">
        <f t="shared" si="5"/>
        <v>0</v>
      </c>
    </row>
    <row r="30" spans="1:15" ht="13.5" thickBot="1" x14ac:dyDescent="0.25">
      <c r="A30" s="388">
        <v>9</v>
      </c>
      <c r="B30" s="388" t="s">
        <v>144</v>
      </c>
      <c r="C30" s="377"/>
      <c r="D30" s="377"/>
      <c r="E30" s="377"/>
      <c r="F30" s="444">
        <f t="shared" si="3"/>
        <v>8.8074222791557549E-2</v>
      </c>
      <c r="G30" s="445">
        <v>0</v>
      </c>
      <c r="H30" s="445">
        <v>0.5</v>
      </c>
      <c r="I30" s="446">
        <v>0.5</v>
      </c>
      <c r="J30" s="447">
        <f>[1]Results_Main!L27</f>
        <v>0.96672938062037461</v>
      </c>
      <c r="K30" s="448">
        <f t="shared" si="4"/>
        <v>0</v>
      </c>
      <c r="L30" s="448">
        <f>$F30*$F$1*H30/G19/1000</f>
        <v>1.1691369131095299</v>
      </c>
      <c r="M30" s="447">
        <f t="shared" si="5"/>
        <v>0.29771596560727043</v>
      </c>
    </row>
    <row r="32" spans="1:15" x14ac:dyDescent="0.2">
      <c r="A32" s="449" t="s">
        <v>161</v>
      </c>
      <c r="B32" s="449"/>
    </row>
    <row r="33" spans="1:15" ht="13.5" x14ac:dyDescent="0.2">
      <c r="A33" s="450" t="s">
        <v>162</v>
      </c>
      <c r="B33" s="374" t="s">
        <v>163</v>
      </c>
    </row>
    <row r="34" spans="1:15" ht="13.5" x14ac:dyDescent="0.2">
      <c r="A34" s="450" t="s">
        <v>164</v>
      </c>
      <c r="B34" s="374" t="s">
        <v>165</v>
      </c>
    </row>
    <row r="35" spans="1:15" ht="13.5" x14ac:dyDescent="0.2">
      <c r="A35" s="450" t="s">
        <v>166</v>
      </c>
      <c r="B35" s="374" t="s">
        <v>167</v>
      </c>
    </row>
    <row r="37" spans="1:15" ht="15" x14ac:dyDescent="0.25">
      <c r="A37" s="390" t="s">
        <v>168</v>
      </c>
      <c r="B37" s="391"/>
      <c r="C37" s="391"/>
      <c r="D37" s="391"/>
      <c r="E37" s="391"/>
      <c r="F37" s="391"/>
      <c r="G37" s="391"/>
      <c r="H37" s="391"/>
      <c r="I37" s="391"/>
      <c r="J37" s="391"/>
      <c r="K37" s="391"/>
      <c r="L37" s="391"/>
      <c r="M37" s="391"/>
      <c r="N37" s="451"/>
      <c r="O37" s="452"/>
    </row>
    <row r="38" spans="1:15" ht="12.75" thickBot="1" x14ac:dyDescent="0.25"/>
    <row r="39" spans="1:15" ht="13.5" x14ac:dyDescent="0.2">
      <c r="F39" s="392" t="s">
        <v>169</v>
      </c>
      <c r="G39" s="393"/>
      <c r="H39" s="394"/>
      <c r="I39" s="392" t="s">
        <v>147</v>
      </c>
      <c r="J39" s="393"/>
      <c r="K39" s="393"/>
      <c r="L39" s="394"/>
      <c r="M39" s="453" t="s">
        <v>166</v>
      </c>
      <c r="N39" s="453" t="s">
        <v>170</v>
      </c>
      <c r="O39" s="453"/>
    </row>
    <row r="40" spans="1:15" ht="24" x14ac:dyDescent="0.2">
      <c r="A40" s="386"/>
      <c r="B40" s="387"/>
      <c r="C40" s="386"/>
      <c r="D40" s="386"/>
      <c r="F40" s="396" t="s">
        <v>134</v>
      </c>
      <c r="G40" s="397" t="s">
        <v>148</v>
      </c>
      <c r="H40" s="398" t="s">
        <v>135</v>
      </c>
      <c r="I40" s="399" t="s">
        <v>132</v>
      </c>
      <c r="J40" s="400" t="s">
        <v>133</v>
      </c>
      <c r="K40" s="400" t="s">
        <v>91</v>
      </c>
      <c r="L40" s="401" t="s">
        <v>149</v>
      </c>
      <c r="M40" s="402" t="s">
        <v>150</v>
      </c>
      <c r="N40" s="402" t="s">
        <v>150</v>
      </c>
      <c r="O40" s="454" t="s">
        <v>171</v>
      </c>
    </row>
    <row r="41" spans="1:15" x14ac:dyDescent="0.2">
      <c r="A41" s="388">
        <v>1</v>
      </c>
      <c r="B41" s="389" t="s">
        <v>136</v>
      </c>
      <c r="C41" s="377"/>
      <c r="D41" s="377"/>
      <c r="E41" s="377"/>
      <c r="F41" s="403">
        <f>[1]Categories!V6</f>
        <v>188387</v>
      </c>
      <c r="G41" s="404">
        <f>[1]Categories!X6</f>
        <v>4745.3</v>
      </c>
      <c r="H41" s="405">
        <v>1084716.8740000001</v>
      </c>
      <c r="I41" s="406">
        <v>0</v>
      </c>
      <c r="J41" s="407">
        <v>0</v>
      </c>
      <c r="K41" s="408">
        <f t="shared" ref="K41:K49" si="6">I41+J41</f>
        <v>0</v>
      </c>
      <c r="L41" s="409">
        <f>K41/$F$1</f>
        <v>0</v>
      </c>
      <c r="M41" s="410">
        <f>K41/H41</f>
        <v>0</v>
      </c>
      <c r="N41" s="410">
        <f>K41/H9</f>
        <v>0</v>
      </c>
      <c r="O41" s="455">
        <f>K41/F41</f>
        <v>0</v>
      </c>
    </row>
    <row r="42" spans="1:15" x14ac:dyDescent="0.2">
      <c r="A42" s="388">
        <v>2</v>
      </c>
      <c r="B42" s="389" t="s">
        <v>137</v>
      </c>
      <c r="C42" s="377"/>
      <c r="D42" s="377"/>
      <c r="E42" s="377"/>
      <c r="F42" s="403">
        <f>[1]Categories!V7</f>
        <v>1284655</v>
      </c>
      <c r="G42" s="404">
        <f>[1]Categories!X7</f>
        <v>22261.119999999999</v>
      </c>
      <c r="H42" s="405">
        <v>7702001.568</v>
      </c>
      <c r="I42" s="411">
        <f>$N$3*$F$2*H42/SUM($H$42:$H$45,$H$47)</f>
        <v>62431483.076858938</v>
      </c>
      <c r="J42" s="408">
        <f>$F$3*H42/SUM($H$42:$H$45,$H$47)</f>
        <v>120089112.80545977</v>
      </c>
      <c r="K42" s="408">
        <f t="shared" si="6"/>
        <v>182520595.88231871</v>
      </c>
      <c r="L42" s="409">
        <f t="shared" ref="L42:L49" si="7">K42/$F$1</f>
        <v>0.24605598759480135</v>
      </c>
      <c r="M42" s="410">
        <f t="shared" ref="M42:M49" si="8">K42/H42</f>
        <v>23.697813389268671</v>
      </c>
      <c r="N42" s="410">
        <f t="shared" ref="N42:N49" si="9">K42/H10</f>
        <v>23.359553508548991</v>
      </c>
      <c r="O42" s="455">
        <f t="shared" ref="O42:O49" si="10">K42/F42</f>
        <v>142.0775195537469</v>
      </c>
    </row>
    <row r="43" spans="1:15" x14ac:dyDescent="0.2">
      <c r="A43" s="388">
        <v>3</v>
      </c>
      <c r="B43" s="388" t="s">
        <v>138</v>
      </c>
      <c r="C43" s="377"/>
      <c r="D43" s="377"/>
      <c r="E43" s="377"/>
      <c r="F43" s="403">
        <f>[1]Categories!V8</f>
        <v>45843</v>
      </c>
      <c r="G43" s="404">
        <f>[1]Categories!X8</f>
        <v>1057.575</v>
      </c>
      <c r="H43" s="405">
        <v>416589.234</v>
      </c>
      <c r="I43" s="411">
        <f>$N$3*$F$2*H43/SUM($H$42:$H$45,$H$47)</f>
        <v>3376821.399327016</v>
      </c>
      <c r="J43" s="408">
        <f>$F$3*H43/SUM($H$42:$H$45,$H$47)</f>
        <v>6495432.5279833637</v>
      </c>
      <c r="K43" s="408">
        <f t="shared" si="6"/>
        <v>9872253.9273103792</v>
      </c>
      <c r="L43" s="409">
        <f t="shared" si="7"/>
        <v>1.3308784020391904E-2</v>
      </c>
      <c r="M43" s="410">
        <f t="shared" si="8"/>
        <v>23.697813389268671</v>
      </c>
      <c r="N43" s="410">
        <f t="shared" si="9"/>
        <v>21.35504929512927</v>
      </c>
      <c r="O43" s="455">
        <f t="shared" si="10"/>
        <v>215.34921203477913</v>
      </c>
    </row>
    <row r="44" spans="1:15" x14ac:dyDescent="0.2">
      <c r="A44" s="388">
        <v>4</v>
      </c>
      <c r="B44" s="388" t="s">
        <v>139</v>
      </c>
      <c r="C44" s="377"/>
      <c r="D44" s="377"/>
      <c r="E44" s="377"/>
      <c r="F44" s="403">
        <f>[1]Categories!V9</f>
        <v>95877</v>
      </c>
      <c r="G44" s="404">
        <f>[1]Categories!X9</f>
        <v>1117.53</v>
      </c>
      <c r="H44" s="405">
        <v>801775.995</v>
      </c>
      <c r="I44" s="411">
        <f>$N$3*$F$2*H44/SUM($H$42:$H$45,$H$47)</f>
        <v>6499098.1917278981</v>
      </c>
      <c r="J44" s="408">
        <f>$F$3*H44/SUM($H$42:$H$45,$H$47)</f>
        <v>12501239.717777314</v>
      </c>
      <c r="K44" s="408">
        <f t="shared" si="6"/>
        <v>19000337.909505211</v>
      </c>
      <c r="L44" s="409">
        <f t="shared" si="7"/>
        <v>2.5614352650769223E-2</v>
      </c>
      <c r="M44" s="410">
        <f t="shared" si="8"/>
        <v>23.697813389268671</v>
      </c>
      <c r="N44" s="410">
        <f t="shared" si="9"/>
        <v>23.697813389268671</v>
      </c>
      <c r="O44" s="455">
        <f t="shared" si="10"/>
        <v>198.17409711928002</v>
      </c>
    </row>
    <row r="45" spans="1:15" x14ac:dyDescent="0.2">
      <c r="A45" s="388">
        <v>5</v>
      </c>
      <c r="B45" s="388" t="s">
        <v>140</v>
      </c>
      <c r="C45" s="377"/>
      <c r="D45" s="377"/>
      <c r="E45" s="377"/>
      <c r="F45" s="403">
        <f>[1]Categories!V10</f>
        <v>5793317</v>
      </c>
      <c r="G45" s="404">
        <f>[1]Categories!X10</f>
        <v>75568.804999999993</v>
      </c>
      <c r="H45" s="405">
        <v>15867207.225999998</v>
      </c>
      <c r="I45" s="411">
        <f>$N$3*$F$2*H45/SUM($H$42:$H$45,$H$47)</f>
        <v>128617641.87672946</v>
      </c>
      <c r="J45" s="408">
        <f>$F$3*H45/SUM($H$42:$H$45,$H$47)</f>
        <v>247400473.97387391</v>
      </c>
      <c r="K45" s="408">
        <f t="shared" si="6"/>
        <v>376018115.85060334</v>
      </c>
      <c r="L45" s="409">
        <f t="shared" si="7"/>
        <v>0.50690996488314366</v>
      </c>
      <c r="M45" s="410">
        <f t="shared" si="8"/>
        <v>23.697813389268671</v>
      </c>
      <c r="N45" s="410">
        <f t="shared" si="9"/>
        <v>21.342171287931528</v>
      </c>
      <c r="O45" s="455">
        <f t="shared" si="10"/>
        <v>64.90549642814355</v>
      </c>
    </row>
    <row r="46" spans="1:15" x14ac:dyDescent="0.2">
      <c r="A46" s="388">
        <v>6</v>
      </c>
      <c r="B46" s="388" t="s">
        <v>141</v>
      </c>
      <c r="C46" s="377"/>
      <c r="D46" s="377"/>
      <c r="E46" s="377"/>
      <c r="F46" s="403">
        <f>[1]Categories!V11</f>
        <v>18192</v>
      </c>
      <c r="G46" s="404">
        <f>[1]Categories!X11</f>
        <v>2106.4699999999998</v>
      </c>
      <c r="H46" s="405">
        <v>813320.67</v>
      </c>
      <c r="I46" s="406">
        <v>0</v>
      </c>
      <c r="J46" s="407"/>
      <c r="K46" s="408">
        <f t="shared" si="6"/>
        <v>0</v>
      </c>
      <c r="L46" s="409">
        <f t="shared" si="7"/>
        <v>0</v>
      </c>
      <c r="M46" s="410">
        <f t="shared" si="8"/>
        <v>0</v>
      </c>
      <c r="N46" s="410">
        <f t="shared" si="9"/>
        <v>0</v>
      </c>
      <c r="O46" s="455">
        <f t="shared" si="10"/>
        <v>0</v>
      </c>
    </row>
    <row r="47" spans="1:15" x14ac:dyDescent="0.2">
      <c r="A47" s="388">
        <v>7</v>
      </c>
      <c r="B47" s="388" t="s">
        <v>142</v>
      </c>
      <c r="C47" s="377"/>
      <c r="D47" s="377"/>
      <c r="E47" s="377"/>
      <c r="F47" s="403">
        <f>[1]Categories!V12</f>
        <v>38729</v>
      </c>
      <c r="G47" s="404">
        <f>[1]Categories!X12</f>
        <v>4814.05</v>
      </c>
      <c r="H47" s="405">
        <v>3757367.4539999999</v>
      </c>
      <c r="I47" s="411">
        <f>$N$3*$F$2*H47/SUM($H$42:$H$45,$H$47)</f>
        <v>30456761.212897945</v>
      </c>
      <c r="J47" s="408">
        <f>$F$3*H47/SUM($H$42:$H$45,$H$47)</f>
        <v>58584631.546905592</v>
      </c>
      <c r="K47" s="408">
        <f t="shared" si="6"/>
        <v>89041392.759803534</v>
      </c>
      <c r="L47" s="409">
        <f t="shared" si="7"/>
        <v>0.12003668805933619</v>
      </c>
      <c r="M47" s="410">
        <f t="shared" si="8"/>
        <v>23.697813389268671</v>
      </c>
      <c r="N47" s="410">
        <f t="shared" si="9"/>
        <v>23.39614971729474</v>
      </c>
      <c r="O47" s="455">
        <f t="shared" si="10"/>
        <v>2299.0883513595377</v>
      </c>
    </row>
    <row r="48" spans="1:15" x14ac:dyDescent="0.2">
      <c r="A48" s="388">
        <v>8</v>
      </c>
      <c r="B48" s="388" t="s">
        <v>143</v>
      </c>
      <c r="C48" s="377"/>
      <c r="D48" s="377"/>
      <c r="E48" s="377"/>
      <c r="F48" s="403">
        <f>[1]Categories!V13</f>
        <v>532</v>
      </c>
      <c r="G48" s="404">
        <f>[1]Categories!X13</f>
        <v>557.97500000000002</v>
      </c>
      <c r="H48" s="405">
        <v>392829.33299999998</v>
      </c>
      <c r="I48" s="406">
        <v>0</v>
      </c>
      <c r="J48" s="407">
        <v>0</v>
      </c>
      <c r="K48" s="408">
        <f t="shared" si="6"/>
        <v>0</v>
      </c>
      <c r="L48" s="409">
        <f t="shared" si="7"/>
        <v>0</v>
      </c>
      <c r="M48" s="410">
        <f t="shared" si="8"/>
        <v>0</v>
      </c>
      <c r="N48" s="410">
        <f t="shared" si="9"/>
        <v>0</v>
      </c>
      <c r="O48" s="455">
        <f t="shared" si="10"/>
        <v>0</v>
      </c>
    </row>
    <row r="49" spans="1:15" ht="12.75" thickBot="1" x14ac:dyDescent="0.25">
      <c r="A49" s="388">
        <v>9</v>
      </c>
      <c r="B49" s="388" t="s">
        <v>144</v>
      </c>
      <c r="C49" s="377"/>
      <c r="D49" s="377"/>
      <c r="E49" s="377"/>
      <c r="F49" s="412">
        <f>[1]Categories!V14</f>
        <v>11218</v>
      </c>
      <c r="G49" s="413">
        <f>[1]Categories!X14</f>
        <v>8074.585</v>
      </c>
      <c r="H49" s="414">
        <v>10607170.666999999</v>
      </c>
      <c r="I49" s="415">
        <f>$N$2*$F$2</f>
        <v>65332121.290458769</v>
      </c>
      <c r="J49" s="416">
        <v>0</v>
      </c>
      <c r="K49" s="417">
        <f t="shared" si="6"/>
        <v>65332121.290458769</v>
      </c>
      <c r="L49" s="418">
        <f t="shared" si="7"/>
        <v>8.8074222791557549E-2</v>
      </c>
      <c r="M49" s="419">
        <f t="shared" si="8"/>
        <v>6.1592410777092264</v>
      </c>
      <c r="N49" s="419">
        <f t="shared" si="9"/>
        <v>6.1592410777092264</v>
      </c>
      <c r="O49" s="456">
        <f t="shared" si="10"/>
        <v>5823.865331650808</v>
      </c>
    </row>
    <row r="50" spans="1:15" x14ac:dyDescent="0.2">
      <c r="I50" s="423">
        <f>SUM(I41:I49)</f>
        <v>296713927.04800004</v>
      </c>
      <c r="J50" s="423">
        <f>SUM(J41:J49)</f>
        <v>445070890.57199997</v>
      </c>
      <c r="K50" s="423">
        <f>I50+J50</f>
        <v>741784817.62</v>
      </c>
    </row>
    <row r="52" spans="1:15" x14ac:dyDescent="0.2">
      <c r="A52" s="449" t="s">
        <v>161</v>
      </c>
      <c r="B52" s="449"/>
    </row>
    <row r="53" spans="1:15" ht="13.5" x14ac:dyDescent="0.2">
      <c r="A53" s="450" t="s">
        <v>162</v>
      </c>
      <c r="B53" s="374" t="s">
        <v>172</v>
      </c>
    </row>
    <row r="54" spans="1:15" ht="13.5" x14ac:dyDescent="0.2">
      <c r="A54" s="450" t="s">
        <v>164</v>
      </c>
      <c r="B54" s="374" t="s">
        <v>173</v>
      </c>
    </row>
    <row r="55" spans="1:15" ht="13.5" x14ac:dyDescent="0.2">
      <c r="A55" s="450" t="s">
        <v>166</v>
      </c>
      <c r="B55" s="374" t="s">
        <v>174</v>
      </c>
    </row>
    <row r="56" spans="1:15" ht="13.5" x14ac:dyDescent="0.2">
      <c r="A56" s="450" t="s">
        <v>170</v>
      </c>
      <c r="B56" s="374" t="s">
        <v>175</v>
      </c>
    </row>
  </sheetData>
  <mergeCells count="5">
    <mergeCell ref="F39:H39"/>
    <mergeCell ref="I39:L39"/>
    <mergeCell ref="F7:H7"/>
    <mergeCell ref="I7:L7"/>
    <mergeCell ref="K20:M2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59369-F23D-4995-902A-574B6E78450C}">
  <sheetPr codeName="Sheet16">
    <tabColor theme="9" tint="0.79998168889431442"/>
    <pageSetUpPr fitToPage="1"/>
  </sheetPr>
  <dimension ref="A1:AA59"/>
  <sheetViews>
    <sheetView zoomScale="85" zoomScaleNormal="85" workbookViewId="0">
      <selection activeCell="B45" sqref="B45"/>
    </sheetView>
  </sheetViews>
  <sheetFormatPr defaultRowHeight="12.75" x14ac:dyDescent="0.2"/>
  <cols>
    <col min="1" max="1" width="0.85546875" style="1" customWidth="1"/>
    <col min="2" max="2" width="19" bestFit="1" customWidth="1"/>
    <col min="3" max="7" width="12.85546875" customWidth="1"/>
    <col min="8" max="10" width="12.140625" customWidth="1"/>
    <col min="11" max="11" width="0.85546875" style="1" customWidth="1"/>
    <col min="13" max="13" width="14.5703125" customWidth="1"/>
    <col min="14" max="14" width="9.42578125" customWidth="1"/>
    <col min="15" max="15" width="16.5703125" bestFit="1" customWidth="1"/>
    <col min="16" max="17" width="14.5703125" customWidth="1"/>
    <col min="18" max="18" width="13.85546875" customWidth="1"/>
    <col min="19" max="24" width="17.7109375" customWidth="1"/>
  </cols>
  <sheetData>
    <row r="1" spans="2:27" s="1" customFormat="1" ht="3" customHeight="1" thickBot="1" x14ac:dyDescent="0.25"/>
    <row r="2" spans="2:27" ht="13.5" customHeight="1" thickBot="1" x14ac:dyDescent="0.25">
      <c r="B2" s="274" t="s">
        <v>176</v>
      </c>
      <c r="C2" s="273" t="s">
        <v>111</v>
      </c>
      <c r="D2" s="273" t="s">
        <v>110</v>
      </c>
      <c r="E2" s="273" t="s">
        <v>109</v>
      </c>
      <c r="F2" s="273" t="s">
        <v>108</v>
      </c>
      <c r="G2" s="273" t="s">
        <v>107</v>
      </c>
      <c r="H2" s="273" t="s">
        <v>106</v>
      </c>
      <c r="I2" s="273" t="s">
        <v>105</v>
      </c>
      <c r="J2" s="272" t="s">
        <v>104</v>
      </c>
      <c r="M2" s="271" t="s">
        <v>103</v>
      </c>
      <c r="N2" s="270" t="s">
        <v>102</v>
      </c>
      <c r="O2" s="269" t="s">
        <v>101</v>
      </c>
      <c r="P2" s="269" t="s">
        <v>100</v>
      </c>
      <c r="Q2" s="269" t="s">
        <v>99</v>
      </c>
      <c r="R2" s="268" t="s">
        <v>98</v>
      </c>
      <c r="S2" s="267" t="s">
        <v>97</v>
      </c>
      <c r="T2" s="266"/>
      <c r="U2" s="267" t="s">
        <v>96</v>
      </c>
      <c r="V2" s="266"/>
      <c r="W2" s="267" t="s">
        <v>95</v>
      </c>
      <c r="X2" s="266"/>
      <c r="Y2" s="265"/>
      <c r="Z2" s="265"/>
      <c r="AA2" s="265"/>
    </row>
    <row r="3" spans="2:27" ht="15" customHeight="1" thickTop="1" x14ac:dyDescent="0.2">
      <c r="B3" s="264" t="s">
        <v>94</v>
      </c>
      <c r="C3" s="263" t="s">
        <v>39</v>
      </c>
      <c r="D3" s="262"/>
      <c r="E3" s="262"/>
      <c r="F3" s="262"/>
      <c r="G3" s="261"/>
      <c r="H3" s="195" t="s">
        <v>38</v>
      </c>
      <c r="I3" s="194"/>
      <c r="J3" s="193"/>
      <c r="M3" s="255"/>
      <c r="N3" s="260"/>
      <c r="O3" s="259"/>
      <c r="P3" s="259"/>
      <c r="Q3" s="259"/>
      <c r="R3" s="258"/>
      <c r="S3" s="257"/>
      <c r="T3" s="256"/>
      <c r="U3" s="257"/>
      <c r="V3" s="256"/>
      <c r="W3" s="257"/>
      <c r="X3" s="256"/>
    </row>
    <row r="4" spans="2:27" ht="14.25" customHeight="1" thickBot="1" x14ac:dyDescent="0.25">
      <c r="B4" s="188" t="s">
        <v>93</v>
      </c>
      <c r="C4" s="245"/>
      <c r="D4" s="244"/>
      <c r="E4" s="244"/>
      <c r="F4" s="244"/>
      <c r="G4" s="243"/>
      <c r="H4" s="141"/>
      <c r="I4" s="140"/>
      <c r="J4" s="189"/>
      <c r="M4" s="255"/>
      <c r="N4" s="254"/>
      <c r="O4" s="253"/>
      <c r="P4" s="253"/>
      <c r="Q4" s="253"/>
      <c r="R4" s="252"/>
      <c r="S4" s="251" t="s">
        <v>92</v>
      </c>
      <c r="T4" s="250" t="s">
        <v>91</v>
      </c>
      <c r="U4" s="251" t="s">
        <v>92</v>
      </c>
      <c r="V4" s="250" t="s">
        <v>91</v>
      </c>
      <c r="W4" s="251" t="s">
        <v>92</v>
      </c>
      <c r="X4" s="250" t="s">
        <v>91</v>
      </c>
    </row>
    <row r="5" spans="2:27" ht="12.75" customHeight="1" thickBot="1" x14ac:dyDescent="0.25">
      <c r="B5" s="246" t="s">
        <v>90</v>
      </c>
      <c r="C5" s="245"/>
      <c r="D5" s="244"/>
      <c r="E5" s="244"/>
      <c r="F5" s="244"/>
      <c r="G5" s="243"/>
      <c r="H5" s="141"/>
      <c r="I5" s="140"/>
      <c r="J5" s="189"/>
      <c r="M5" s="249"/>
      <c r="N5" s="248"/>
      <c r="O5" s="248"/>
      <c r="P5" s="248"/>
      <c r="Q5" s="248"/>
      <c r="R5" s="247"/>
      <c r="S5" s="248"/>
      <c r="T5" s="248"/>
      <c r="U5" s="247"/>
    </row>
    <row r="6" spans="2:27" ht="12.75" customHeight="1" x14ac:dyDescent="0.2">
      <c r="B6" s="246" t="s">
        <v>89</v>
      </c>
      <c r="C6" s="245"/>
      <c r="D6" s="244"/>
      <c r="E6" s="244"/>
      <c r="F6" s="244"/>
      <c r="G6" s="243"/>
      <c r="H6" s="141"/>
      <c r="I6" s="140"/>
      <c r="J6" s="189"/>
      <c r="M6" s="212">
        <v>1</v>
      </c>
      <c r="N6" s="211" t="s">
        <v>75</v>
      </c>
      <c r="O6" s="210" t="s">
        <v>72</v>
      </c>
      <c r="P6" s="209" t="s">
        <v>88</v>
      </c>
      <c r="Q6" s="209" t="s">
        <v>79</v>
      </c>
      <c r="R6" s="242" t="s">
        <v>68</v>
      </c>
      <c r="S6" s="207">
        <f>([2]LV_Sells_2017_Estimation!$C$30+SUM([2]LV_Sells_2017_Estimation!$E$30:$H$30))/1000</f>
        <v>993665.42200000002</v>
      </c>
      <c r="T6" s="206">
        <f>([2]LV_Sells_2017_Estimation!$C$122+SUM([2]LV_Sells_2017_Estimation!$E$122:$H$122))/1000</f>
        <v>1084716.8740000001</v>
      </c>
      <c r="U6" s="207">
        <f>([2]LV_Consumers_2017_Estimation!$C$30+SUM([2]LV_Consumers_2017_Estimation!$E$30:$H$30))</f>
        <v>163027</v>
      </c>
      <c r="V6" s="206">
        <f>([2]LV_Consumers_2017_Estimation!$C$122+SUM([2]LV_Consumers_2017_Estimation!$E$122:$H$122))</f>
        <v>188387</v>
      </c>
      <c r="W6" s="207">
        <f>[2]LV_Consumers_2017_Estimation!$N$30</f>
        <v>4290.6850000000004</v>
      </c>
      <c r="X6" s="206">
        <f>[2]LV_Consumers_2017_Estimation!$N$122</f>
        <v>4745.3</v>
      </c>
    </row>
    <row r="7" spans="2:27" ht="13.5" customHeight="1" thickBot="1" x14ac:dyDescent="0.25">
      <c r="B7" s="188" t="s">
        <v>87</v>
      </c>
      <c r="C7" s="241"/>
      <c r="D7" s="240"/>
      <c r="E7" s="240"/>
      <c r="F7" s="240"/>
      <c r="G7" s="239"/>
      <c r="H7" s="184"/>
      <c r="I7" s="183"/>
      <c r="J7" s="182"/>
      <c r="M7" s="232">
        <v>2</v>
      </c>
      <c r="N7" s="231" t="s">
        <v>75</v>
      </c>
      <c r="O7" s="230" t="s">
        <v>86</v>
      </c>
      <c r="P7" s="229" t="s">
        <v>80</v>
      </c>
      <c r="Q7" s="229" t="s">
        <v>79</v>
      </c>
      <c r="R7" s="233" t="s">
        <v>68</v>
      </c>
      <c r="S7" s="227">
        <f>([2]LV_Sells_2017_Estimation!$C$16+SUM([2]LV_Sells_2017_Estimation!$E$16:$H$16))/1000</f>
        <v>6567994.6540000001</v>
      </c>
      <c r="T7" s="226">
        <f>([2]LV_Sells_2017_Estimation!$C$108+SUM([2]LV_Sells_2017_Estimation!$E$108:$H$108))/1000</f>
        <v>7813531.017</v>
      </c>
      <c r="U7" s="227">
        <f>([2]LV_Consumers_2017_Estimation!$C$16+SUM([2]LV_Consumers_2017_Estimation!$E$16:$H$16))</f>
        <v>1118114</v>
      </c>
      <c r="V7" s="226">
        <f>([2]LV_Consumers_2017_Estimation!$C$108+SUM([2]LV_Consumers_2017_Estimation!$E$108:$H$108))</f>
        <v>1284655</v>
      </c>
      <c r="W7" s="227">
        <f>[2]LV_Consumers_2017_Estimation!$N$16</f>
        <v>19346.955000000002</v>
      </c>
      <c r="X7" s="226">
        <f>[2]LV_Consumers_2017_Estimation!$N$108</f>
        <v>22261.119999999999</v>
      </c>
    </row>
    <row r="8" spans="2:27" ht="14.25" thickTop="1" thickBot="1" x14ac:dyDescent="0.25">
      <c r="B8" s="131" t="s">
        <v>85</v>
      </c>
      <c r="C8" s="238"/>
      <c r="D8" s="238"/>
      <c r="E8" s="238"/>
      <c r="F8" s="238"/>
      <c r="G8" s="238"/>
      <c r="H8" s="238"/>
      <c r="I8" s="238"/>
      <c r="J8" s="237"/>
      <c r="M8" s="232">
        <v>3</v>
      </c>
      <c r="N8" s="231" t="s">
        <v>75</v>
      </c>
      <c r="O8" s="230" t="s">
        <v>84</v>
      </c>
      <c r="P8" s="229" t="s">
        <v>80</v>
      </c>
      <c r="Q8" s="229" t="s">
        <v>79</v>
      </c>
      <c r="R8" s="233" t="s">
        <v>68</v>
      </c>
      <c r="S8" s="227">
        <f>([2]LV_Sells_2017_Estimation!$C$22+SUM([2]LV_Sells_2017_Estimation!$E$22:$H$22))/1000</f>
        <v>424504.908</v>
      </c>
      <c r="T8" s="226">
        <f>([2]LV_Sells_2017_Estimation!$C$114+SUM([2]LV_Sells_2017_Estimation!$E$114:$H$114))/1000</f>
        <v>462291.32</v>
      </c>
      <c r="U8" s="227">
        <f>([2]LV_Consumers_2017_Estimation!$C$22+SUM([2]LV_Consumers_2017_Estimation!$E$22:$H$22))</f>
        <v>42514</v>
      </c>
      <c r="V8" s="226">
        <f>([2]LV_Consumers_2017_Estimation!$C$114+SUM([2]LV_Consumers_2017_Estimation!$E$114:$H$114))</f>
        <v>45843</v>
      </c>
      <c r="W8" s="227">
        <f>[2]LV_Consumers_2017_Estimation!$N$22</f>
        <v>977.19500000000005</v>
      </c>
      <c r="X8" s="226">
        <f>[2]LV_Consumers_2017_Estimation!$N$114</f>
        <v>1057.575</v>
      </c>
    </row>
    <row r="9" spans="2:27" ht="13.5" customHeight="1" thickTop="1" x14ac:dyDescent="0.2">
      <c r="B9" s="188" t="s">
        <v>83</v>
      </c>
      <c r="C9" s="236" t="s">
        <v>82</v>
      </c>
      <c r="D9" s="235"/>
      <c r="E9" s="235"/>
      <c r="F9" s="235"/>
      <c r="G9" s="234"/>
      <c r="H9" s="195" t="s">
        <v>38</v>
      </c>
      <c r="I9" s="194"/>
      <c r="J9" s="193"/>
      <c r="M9" s="232">
        <v>4</v>
      </c>
      <c r="N9" s="231" t="s">
        <v>75</v>
      </c>
      <c r="O9" s="230" t="s">
        <v>41</v>
      </c>
      <c r="P9" s="229" t="s">
        <v>80</v>
      </c>
      <c r="Q9" s="229" t="s">
        <v>79</v>
      </c>
      <c r="R9" s="233" t="s">
        <v>68</v>
      </c>
      <c r="S9" s="227">
        <f>([2]LV_Sells_2017_Estimation!$C$39+SUM([2]LV_Sells_2017_Estimation!$E$39:$H$39))/1000</f>
        <v>708071.73800000001</v>
      </c>
      <c r="T9" s="226">
        <f>([2]LV_Sells_2017_Estimation!$C$131+SUM([2]LV_Sells_2017_Estimation!$E$131:$H$131))/1000</f>
        <v>801775.995</v>
      </c>
      <c r="U9" s="227">
        <f>([2]LV_Consumers_2017_Estimation!$C$39+SUM([2]LV_Consumers_2017_Estimation!$E$39:$H$39))</f>
        <v>83351</v>
      </c>
      <c r="V9" s="226">
        <f>([2]LV_Consumers_2017_Estimation!$C$131+SUM([2]LV_Consumers_2017_Estimation!$E$131:$H$131))</f>
        <v>95877</v>
      </c>
      <c r="W9" s="227">
        <f>[2]LV_Consumers_2017_Estimation!$N$39</f>
        <v>978.31500000000005</v>
      </c>
      <c r="X9" s="226">
        <f>[2]LV_Consumers_2017_Estimation!$N$131</f>
        <v>1117.53</v>
      </c>
    </row>
    <row r="10" spans="2:27" ht="12.75" customHeight="1" x14ac:dyDescent="0.2">
      <c r="B10" s="188" t="s">
        <v>81</v>
      </c>
      <c r="C10" s="225"/>
      <c r="D10" s="224"/>
      <c r="E10" s="224"/>
      <c r="F10" s="224"/>
      <c r="G10" s="223"/>
      <c r="H10" s="141"/>
      <c r="I10" s="140"/>
      <c r="J10" s="189"/>
      <c r="M10" s="232">
        <v>5</v>
      </c>
      <c r="N10" s="231" t="s">
        <v>75</v>
      </c>
      <c r="O10" s="230" t="s">
        <v>70</v>
      </c>
      <c r="P10" s="229" t="s">
        <v>80</v>
      </c>
      <c r="Q10" s="229" t="s">
        <v>79</v>
      </c>
      <c r="R10" s="233" t="s">
        <v>78</v>
      </c>
      <c r="S10" s="227">
        <f>([2]LV_Sells_2017_Estimation!$C$10+SUM([2]LV_Sells_2017_Estimation!$E$10:$H$10))/1000+([2]LV_Sells_2017_Estimation!$C$44+SUM([2]LV_Sells_2017_Estimation!$E$44:$H$44))/1000</f>
        <v>15834197.135000002</v>
      </c>
      <c r="T10" s="226">
        <f>([2]LV_Sells_2017_Estimation!$C$102+SUM([2]LV_Sells_2017_Estimation!$E$102:$H$102))/1000+([2]LV_Sells_2017_Estimation!$C$136+SUM([2]LV_Sells_2017_Estimation!$E$136:$H$136))/1000</f>
        <v>17618550.182999998</v>
      </c>
      <c r="U10" s="227">
        <f>([2]LV_Consumers_2017_Estimation!$C$10+SUM([2]LV_Consumers_2017_Estimation!$E$10:$H$10))+([2]LV_Consumers_2017_Estimation!$C$44+SUM([2]LV_Consumers_2017_Estimation!$E$44:$H$44))</f>
        <v>5160451</v>
      </c>
      <c r="V10" s="226">
        <f>([2]LV_Consumers_2017_Estimation!$C$102+SUM([2]LV_Consumers_2017_Estimation!$E$102:$H$102))+([2]LV_Consumers_2017_Estimation!$C$136+SUM([2]LV_Consumers_2017_Estimation!$E$136:$H$136))</f>
        <v>5793317</v>
      </c>
      <c r="W10" s="227">
        <f>[2]LV_Consumers_2017_Estimation!$N$10+[2]LV_Consumers_2017_Estimation!$N$44</f>
        <v>67432.615000000005</v>
      </c>
      <c r="X10" s="226">
        <f>[2]LV_Consumers_2017_Estimation!$N$102+[2]LV_Consumers_2017_Estimation!$N$136</f>
        <v>75568.804999999993</v>
      </c>
    </row>
    <row r="11" spans="2:27" ht="12.75" customHeight="1" x14ac:dyDescent="0.2">
      <c r="B11" s="188" t="s">
        <v>77</v>
      </c>
      <c r="C11" s="225"/>
      <c r="D11" s="224"/>
      <c r="E11" s="224"/>
      <c r="F11" s="224"/>
      <c r="G11" s="223"/>
      <c r="H11" s="141"/>
      <c r="I11" s="140"/>
      <c r="J11" s="189"/>
      <c r="M11" s="232">
        <v>6</v>
      </c>
      <c r="N11" s="231" t="s">
        <v>75</v>
      </c>
      <c r="O11" s="230" t="s">
        <v>72</v>
      </c>
      <c r="P11" s="229" t="s">
        <v>74</v>
      </c>
      <c r="Q11" s="229" t="s">
        <v>68</v>
      </c>
      <c r="R11" s="228"/>
      <c r="S11" s="227">
        <f>SUM([2]LV_Sells_2017_Estimation!$I$30:$K$30)/1000</f>
        <v>741507.17200000002</v>
      </c>
      <c r="T11" s="226">
        <f>SUM([2]LV_Sells_2017_Estimation!$I$122:$K$122)/1000</f>
        <v>813320.67</v>
      </c>
      <c r="U11" s="227">
        <f>SUM([2]LV_Consumers_2017_Estimation!$I$30:$K$30)</f>
        <v>17276</v>
      </c>
      <c r="V11" s="226">
        <f>SUM([2]LV_Consumers_2017_Estimation!$I$122:$K$122)</f>
        <v>18192</v>
      </c>
      <c r="W11" s="227">
        <f>[2]LV_Consumers_2017_Estimation!$O$30</f>
        <v>1978.75</v>
      </c>
      <c r="X11" s="226">
        <f>[2]LV_Consumers_2017_Estimation!$O$122</f>
        <v>2106.4699999999998</v>
      </c>
    </row>
    <row r="12" spans="2:27" ht="12.75" customHeight="1" thickBot="1" x14ac:dyDescent="0.25">
      <c r="B12" s="188" t="s">
        <v>76</v>
      </c>
      <c r="C12" s="225"/>
      <c r="D12" s="224"/>
      <c r="E12" s="224"/>
      <c r="F12" s="224"/>
      <c r="G12" s="223"/>
      <c r="H12" s="141"/>
      <c r="I12" s="140"/>
      <c r="J12" s="189"/>
      <c r="M12" s="222">
        <v>7</v>
      </c>
      <c r="N12" s="221" t="s">
        <v>75</v>
      </c>
      <c r="O12" s="220" t="s">
        <v>70</v>
      </c>
      <c r="P12" s="219" t="s">
        <v>74</v>
      </c>
      <c r="Q12" s="219" t="s">
        <v>68</v>
      </c>
      <c r="R12" s="218"/>
      <c r="S12" s="217">
        <f>SUM([2]LV_Sells_2017_Estimation!$I$10:$K$10,[2]LV_Sells_2017_Estimation!$I$16:$K$16,[2]LV_Sells_2017_Estimation!$I$22:$K$22,[2]LV_Sells_2017_Estimation!$I$39:$K$39,[2]LV_Sells_2017_Estimation!$I$44:$K$44)/1000</f>
        <v>3187896.4339999999</v>
      </c>
      <c r="T12" s="216">
        <f>SUM([2]LV_Sells_2017_Estimation!$I$102:$K$102,[2]LV_Sells_2017_Estimation!$I$108:$K$108,[2]LV_Sells_2017_Estimation!$I$114:$K$114,[2]LV_Sells_2017_Estimation!$I$131:$K$131,[2]LV_Sells_2017_Estimation!$I$136:$K$136)/1000</f>
        <v>3805813.9410000001</v>
      </c>
      <c r="U12" s="217">
        <f>SUM([2]LV_Consumers_2017_Estimation!$I$10:$K$10,[2]LV_Consumers_2017_Estimation!$I$16:$K$16,[2]LV_Consumers_2017_Estimation!$I$22:$K$22,[2]LV_Consumers_2017_Estimation!$I$39:$K$39,[2]LV_Consumers_2017_Estimation!$I$44:$K$44)</f>
        <v>32808</v>
      </c>
      <c r="V12" s="216">
        <f>SUM([2]LV_Consumers_2017_Estimation!$I$102:$K$102,[2]LV_Consumers_2017_Estimation!$I$108:$K$108,[2]LV_Consumers_2017_Estimation!$I$114:$K$114,[2]LV_Consumers_2017_Estimation!$I$131:$K$131,[2]LV_Consumers_2017_Estimation!$I$136:$K$136)</f>
        <v>38729</v>
      </c>
      <c r="W12" s="217">
        <f>[2]LV_Consumers_2017_Estimation!$O$10+[2]LV_Consumers_2017_Estimation!$O$16+[2]LV_Consumers_2017_Estimation!$O$22+[2]LV_Consumers_2017_Estimation!$O$39+[2]LV_Consumers_2017_Estimation!$O$44</f>
        <v>4072.38</v>
      </c>
      <c r="X12" s="216">
        <f>[2]LV_Consumers_2017_Estimation!$O$102+[2]LV_Consumers_2017_Estimation!$O$108+[2]LV_Consumers_2017_Estimation!$O$114+[2]LV_Consumers_2017_Estimation!$O$131+[2]LV_Consumers_2017_Estimation!$O$136</f>
        <v>4814.05</v>
      </c>
    </row>
    <row r="13" spans="2:27" ht="13.5" customHeight="1" thickBot="1" x14ac:dyDescent="0.25">
      <c r="B13" s="188" t="s">
        <v>73</v>
      </c>
      <c r="C13" s="215"/>
      <c r="D13" s="214"/>
      <c r="E13" s="214"/>
      <c r="F13" s="214"/>
      <c r="G13" s="213"/>
      <c r="H13" s="184"/>
      <c r="I13" s="183"/>
      <c r="J13" s="182"/>
      <c r="M13" s="212">
        <v>8</v>
      </c>
      <c r="N13" s="211" t="s">
        <v>71</v>
      </c>
      <c r="O13" s="210" t="s">
        <v>72</v>
      </c>
      <c r="P13" s="209" t="s">
        <v>69</v>
      </c>
      <c r="Q13" s="209" t="s">
        <v>68</v>
      </c>
      <c r="R13" s="208"/>
      <c r="S13" s="207">
        <f>[2]MV_Consumers_2017_Estimation!$E$9/1000</f>
        <v>369541.93400000001</v>
      </c>
      <c r="T13" s="206">
        <f>[2]MV_Consumers_2017_Estimation!$E$41/1000</f>
        <v>392829.33299999998</v>
      </c>
      <c r="U13" s="207">
        <f>[2]MV_Consumers_2017_Estimation!$B$9</f>
        <v>506</v>
      </c>
      <c r="V13" s="206">
        <f>[2]MV_Consumers_2017_Estimation!$B$41</f>
        <v>532</v>
      </c>
      <c r="W13" s="207">
        <f>[2]MV_Consumers_2017_Estimation!$C$9/1000</f>
        <v>532.92899999999997</v>
      </c>
      <c r="X13" s="206">
        <f>[2]MV_Consumers_2017_Estimation!$C$41/1000</f>
        <v>557.97500000000002</v>
      </c>
    </row>
    <row r="14" spans="2:27" ht="14.25" thickTop="1" thickBot="1" x14ac:dyDescent="0.25">
      <c r="B14" s="131" t="s">
        <v>61</v>
      </c>
      <c r="C14" s="152"/>
      <c r="D14" s="152"/>
      <c r="E14" s="152"/>
      <c r="F14" s="152"/>
      <c r="G14" s="152"/>
      <c r="H14" s="152"/>
      <c r="I14" s="152"/>
      <c r="J14" s="151"/>
      <c r="M14" s="205">
        <v>9</v>
      </c>
      <c r="N14" s="204" t="s">
        <v>71</v>
      </c>
      <c r="O14" s="203" t="s">
        <v>70</v>
      </c>
      <c r="P14" s="202" t="s">
        <v>69</v>
      </c>
      <c r="Q14" s="202" t="s">
        <v>68</v>
      </c>
      <c r="R14" s="201"/>
      <c r="S14" s="200">
        <f>[2]MV_Consumers_2017_Estimation!$E$7/1000</f>
        <v>9478405.3279999997</v>
      </c>
      <c r="T14" s="199">
        <f>[2]MV_Consumers_2017_Estimation!$E$39/1000</f>
        <v>10607170.666999999</v>
      </c>
      <c r="U14" s="200">
        <f>[2]MV_Consumers_2017_Estimation!$B$7</f>
        <v>10026</v>
      </c>
      <c r="V14" s="199">
        <f>[2]MV_Consumers_2017_Estimation!$B$39</f>
        <v>11218</v>
      </c>
      <c r="W14" s="200">
        <f>[2]MV_Consumers_2017_Estimation!$C$7/1000</f>
        <v>7287.4040000000005</v>
      </c>
      <c r="X14" s="199">
        <f>[2]MV_Consumers_2017_Estimation!$C$39/1000</f>
        <v>8074.585</v>
      </c>
    </row>
    <row r="15" spans="2:27" ht="13.5" customHeight="1" thickTop="1" x14ac:dyDescent="0.2">
      <c r="B15" s="188" t="s">
        <v>67</v>
      </c>
      <c r="C15" s="198" t="s">
        <v>66</v>
      </c>
      <c r="D15" s="197"/>
      <c r="E15" s="197"/>
      <c r="F15" s="197"/>
      <c r="G15" s="196"/>
      <c r="H15" s="195" t="s">
        <v>38</v>
      </c>
      <c r="I15" s="194"/>
      <c r="J15" s="193"/>
      <c r="M15" s="128"/>
      <c r="N15" s="128"/>
      <c r="O15" s="128"/>
      <c r="P15" s="128"/>
      <c r="Q15" s="128"/>
      <c r="R15" s="128"/>
      <c r="S15" s="128"/>
      <c r="T15" s="128"/>
      <c r="U15" s="128"/>
      <c r="V15" s="128"/>
      <c r="W15" s="128"/>
    </row>
    <row r="16" spans="2:27" ht="12.75" customHeight="1" x14ac:dyDescent="0.2">
      <c r="B16" s="188" t="s">
        <v>65</v>
      </c>
      <c r="C16" s="192"/>
      <c r="D16" s="191"/>
      <c r="E16" s="191"/>
      <c r="F16" s="191"/>
      <c r="G16" s="190"/>
      <c r="H16" s="141"/>
      <c r="I16" s="140"/>
      <c r="J16" s="189"/>
      <c r="S16" s="44"/>
      <c r="T16" s="44"/>
      <c r="U16" s="44"/>
      <c r="V16" s="44"/>
      <c r="W16" s="44"/>
      <c r="X16" s="44"/>
    </row>
    <row r="17" spans="2:19" ht="12.75" customHeight="1" x14ac:dyDescent="0.2">
      <c r="B17" s="188" t="s">
        <v>64</v>
      </c>
      <c r="C17" s="192"/>
      <c r="D17" s="191"/>
      <c r="E17" s="191"/>
      <c r="F17" s="191"/>
      <c r="G17" s="190"/>
      <c r="H17" s="141"/>
      <c r="I17" s="140"/>
      <c r="J17" s="189"/>
    </row>
    <row r="18" spans="2:19" ht="12.75" customHeight="1" x14ac:dyDescent="0.2">
      <c r="B18" s="188" t="s">
        <v>63</v>
      </c>
      <c r="C18" s="192"/>
      <c r="D18" s="191"/>
      <c r="E18" s="191"/>
      <c r="F18" s="191"/>
      <c r="G18" s="190"/>
      <c r="H18" s="141"/>
      <c r="I18" s="140"/>
      <c r="J18" s="189"/>
      <c r="S18" s="44"/>
    </row>
    <row r="19" spans="2:19" ht="13.5" customHeight="1" thickBot="1" x14ac:dyDescent="0.25">
      <c r="B19" s="188" t="s">
        <v>62</v>
      </c>
      <c r="C19" s="187"/>
      <c r="D19" s="186"/>
      <c r="E19" s="186"/>
      <c r="F19" s="186"/>
      <c r="G19" s="185"/>
      <c r="H19" s="184"/>
      <c r="I19" s="183"/>
      <c r="J19" s="182"/>
    </row>
    <row r="20" spans="2:19" ht="14.25" thickTop="1" thickBot="1" x14ac:dyDescent="0.25">
      <c r="B20" s="131" t="s">
        <v>61</v>
      </c>
      <c r="C20" s="152"/>
      <c r="D20" s="152"/>
      <c r="E20" s="152"/>
      <c r="F20" s="152"/>
      <c r="G20" s="152"/>
      <c r="H20" s="152"/>
      <c r="I20" s="152"/>
      <c r="J20" s="151"/>
      <c r="S20" s="181"/>
    </row>
    <row r="21" spans="2:19" ht="13.5" thickTop="1" x14ac:dyDescent="0.2">
      <c r="B21" s="138" t="s">
        <v>60</v>
      </c>
      <c r="C21" s="180" t="s">
        <v>59</v>
      </c>
      <c r="D21" s="179"/>
      <c r="E21" s="179"/>
      <c r="F21" s="179"/>
      <c r="G21" s="178"/>
      <c r="H21" s="177" t="s">
        <v>58</v>
      </c>
      <c r="I21" s="176"/>
      <c r="J21" s="175"/>
    </row>
    <row r="22" spans="2:19" x14ac:dyDescent="0.2">
      <c r="B22" s="138" t="s">
        <v>57</v>
      </c>
      <c r="C22" s="174"/>
      <c r="D22" s="173"/>
      <c r="E22" s="173"/>
      <c r="F22" s="173"/>
      <c r="G22" s="172"/>
      <c r="H22" s="171"/>
      <c r="I22" s="170"/>
      <c r="J22" s="169"/>
    </row>
    <row r="23" spans="2:19" x14ac:dyDescent="0.2">
      <c r="B23" s="138" t="s">
        <v>56</v>
      </c>
      <c r="C23" s="174"/>
      <c r="D23" s="173"/>
      <c r="E23" s="173"/>
      <c r="F23" s="173"/>
      <c r="G23" s="172"/>
      <c r="H23" s="171"/>
      <c r="I23" s="170"/>
      <c r="J23" s="169"/>
    </row>
    <row r="24" spans="2:19" x14ac:dyDescent="0.2">
      <c r="B24" s="138" t="s">
        <v>55</v>
      </c>
      <c r="C24" s="174"/>
      <c r="D24" s="173"/>
      <c r="E24" s="173"/>
      <c r="F24" s="173"/>
      <c r="G24" s="172"/>
      <c r="H24" s="171"/>
      <c r="I24" s="170"/>
      <c r="J24" s="169"/>
    </row>
    <row r="25" spans="2:19" x14ac:dyDescent="0.2">
      <c r="B25" s="138" t="s">
        <v>54</v>
      </c>
      <c r="C25" s="174"/>
      <c r="D25" s="173"/>
      <c r="E25" s="173"/>
      <c r="F25" s="173"/>
      <c r="G25" s="172"/>
      <c r="H25" s="171"/>
      <c r="I25" s="170"/>
      <c r="J25" s="169"/>
    </row>
    <row r="26" spans="2:19" x14ac:dyDescent="0.2">
      <c r="B26" s="138" t="s">
        <v>53</v>
      </c>
      <c r="C26" s="174"/>
      <c r="D26" s="173"/>
      <c r="E26" s="173"/>
      <c r="F26" s="173"/>
      <c r="G26" s="172"/>
      <c r="H26" s="171"/>
      <c r="I26" s="170"/>
      <c r="J26" s="169"/>
    </row>
    <row r="27" spans="2:19" ht="13.5" thickBot="1" x14ac:dyDescent="0.25">
      <c r="B27" s="138" t="s">
        <v>52</v>
      </c>
      <c r="C27" s="168"/>
      <c r="D27" s="167"/>
      <c r="E27" s="167"/>
      <c r="F27" s="167"/>
      <c r="G27" s="166"/>
      <c r="H27" s="165"/>
      <c r="I27" s="164"/>
      <c r="J27" s="163"/>
      <c r="R27" s="162"/>
    </row>
    <row r="28" spans="2:19" ht="14.25" thickTop="1" thickBot="1" x14ac:dyDescent="0.25">
      <c r="B28" s="131" t="s">
        <v>51</v>
      </c>
      <c r="C28" s="152"/>
      <c r="D28" s="152"/>
      <c r="E28" s="152"/>
      <c r="F28" s="152"/>
      <c r="G28" s="152"/>
      <c r="H28" s="152"/>
      <c r="I28" s="152"/>
      <c r="J28" s="151"/>
    </row>
    <row r="29" spans="2:19" ht="13.5" thickTop="1" x14ac:dyDescent="0.2">
      <c r="B29" s="138" t="s">
        <v>50</v>
      </c>
      <c r="C29" s="161" t="s">
        <v>49</v>
      </c>
      <c r="D29" s="160"/>
      <c r="E29" s="160"/>
      <c r="F29" s="160"/>
      <c r="G29" s="159"/>
      <c r="H29" s="147" t="s">
        <v>38</v>
      </c>
      <c r="I29" s="146"/>
      <c r="J29" s="145"/>
    </row>
    <row r="30" spans="2:19" x14ac:dyDescent="0.2">
      <c r="B30" s="138" t="s">
        <v>48</v>
      </c>
      <c r="C30" s="158"/>
      <c r="D30" s="157"/>
      <c r="E30" s="157"/>
      <c r="F30" s="157"/>
      <c r="G30" s="156"/>
      <c r="H30" s="141"/>
      <c r="I30" s="140"/>
      <c r="J30" s="139"/>
    </row>
    <row r="31" spans="2:19" x14ac:dyDescent="0.2">
      <c r="B31" s="138" t="s">
        <v>47</v>
      </c>
      <c r="C31" s="158"/>
      <c r="D31" s="157"/>
      <c r="E31" s="157"/>
      <c r="F31" s="157"/>
      <c r="G31" s="156"/>
      <c r="H31" s="141"/>
      <c r="I31" s="140"/>
      <c r="J31" s="139"/>
    </row>
    <row r="32" spans="2:19" x14ac:dyDescent="0.2">
      <c r="B32" s="138" t="s">
        <v>46</v>
      </c>
      <c r="C32" s="158"/>
      <c r="D32" s="157"/>
      <c r="E32" s="157"/>
      <c r="F32" s="157"/>
      <c r="G32" s="156"/>
      <c r="H32" s="141"/>
      <c r="I32" s="140"/>
      <c r="J32" s="139"/>
    </row>
    <row r="33" spans="2:25" x14ac:dyDescent="0.2">
      <c r="B33" s="138" t="s">
        <v>45</v>
      </c>
      <c r="C33" s="158"/>
      <c r="D33" s="157"/>
      <c r="E33" s="157"/>
      <c r="F33" s="157"/>
      <c r="G33" s="156"/>
      <c r="H33" s="141"/>
      <c r="I33" s="140"/>
      <c r="J33" s="139"/>
    </row>
    <row r="34" spans="2:25" x14ac:dyDescent="0.2">
      <c r="B34" s="138" t="s">
        <v>44</v>
      </c>
      <c r="C34" s="158"/>
      <c r="D34" s="157"/>
      <c r="E34" s="157"/>
      <c r="F34" s="157"/>
      <c r="G34" s="156"/>
      <c r="H34" s="141"/>
      <c r="I34" s="140"/>
      <c r="J34" s="139"/>
    </row>
    <row r="35" spans="2:25" x14ac:dyDescent="0.2">
      <c r="B35" s="138" t="s">
        <v>43</v>
      </c>
      <c r="C35" s="158"/>
      <c r="D35" s="157"/>
      <c r="E35" s="157"/>
      <c r="F35" s="157"/>
      <c r="G35" s="156"/>
      <c r="H35" s="141"/>
      <c r="I35" s="140"/>
      <c r="J35" s="139"/>
    </row>
    <row r="36" spans="2:25" ht="13.5" thickBot="1" x14ac:dyDescent="0.25">
      <c r="B36" s="138" t="s">
        <v>42</v>
      </c>
      <c r="C36" s="155"/>
      <c r="D36" s="154"/>
      <c r="E36" s="154"/>
      <c r="F36" s="154"/>
      <c r="G36" s="153"/>
      <c r="H36" s="134"/>
      <c r="I36" s="133"/>
      <c r="J36" s="132"/>
    </row>
    <row r="37" spans="2:25" ht="14.25" thickTop="1" thickBot="1" x14ac:dyDescent="0.25">
      <c r="B37" s="131" t="s">
        <v>41</v>
      </c>
      <c r="C37" s="152"/>
      <c r="D37" s="152"/>
      <c r="E37" s="152"/>
      <c r="F37" s="152"/>
      <c r="G37" s="152"/>
      <c r="H37" s="152"/>
      <c r="I37" s="152"/>
      <c r="J37" s="151"/>
    </row>
    <row r="38" spans="2:25" ht="13.5" thickTop="1" x14ac:dyDescent="0.2">
      <c r="B38" s="138" t="s">
        <v>40</v>
      </c>
      <c r="C38" s="150" t="s">
        <v>39</v>
      </c>
      <c r="D38" s="149"/>
      <c r="E38" s="149"/>
      <c r="F38" s="149"/>
      <c r="G38" s="148"/>
      <c r="H38" s="147" t="s">
        <v>38</v>
      </c>
      <c r="I38" s="146"/>
      <c r="J38" s="145"/>
    </row>
    <row r="39" spans="2:25" x14ac:dyDescent="0.2">
      <c r="B39" s="138" t="s">
        <v>37</v>
      </c>
      <c r="C39" s="144"/>
      <c r="D39" s="143"/>
      <c r="E39" s="143"/>
      <c r="F39" s="143"/>
      <c r="G39" s="142"/>
      <c r="H39" s="141"/>
      <c r="I39" s="140"/>
      <c r="J39" s="139"/>
    </row>
    <row r="40" spans="2:25" x14ac:dyDescent="0.2">
      <c r="B40" s="138" t="s">
        <v>36</v>
      </c>
      <c r="C40" s="144"/>
      <c r="D40" s="143"/>
      <c r="E40" s="143"/>
      <c r="F40" s="143"/>
      <c r="G40" s="142"/>
      <c r="H40" s="141"/>
      <c r="I40" s="140"/>
      <c r="J40" s="139"/>
    </row>
    <row r="41" spans="2:25" ht="13.5" thickBot="1" x14ac:dyDescent="0.25">
      <c r="B41" s="138" t="s">
        <v>35</v>
      </c>
      <c r="C41" s="137"/>
      <c r="D41" s="136"/>
      <c r="E41" s="136"/>
      <c r="F41" s="136"/>
      <c r="G41" s="135"/>
      <c r="H41" s="134"/>
      <c r="I41" s="133"/>
      <c r="J41" s="132"/>
    </row>
    <row r="42" spans="2:25" ht="14.25" thickTop="1" thickBot="1" x14ac:dyDescent="0.25">
      <c r="B42" s="131" t="s">
        <v>34</v>
      </c>
      <c r="C42" s="130"/>
      <c r="D42" s="130"/>
      <c r="E42" s="130"/>
      <c r="F42" s="130"/>
      <c r="G42" s="130"/>
      <c r="H42" s="130"/>
      <c r="I42" s="130"/>
      <c r="J42" s="129"/>
    </row>
    <row r="43" spans="2:25" s="1" customFormat="1" ht="4.5" customHeight="1" thickTop="1" x14ac:dyDescent="0.2">
      <c r="M43"/>
      <c r="N43"/>
      <c r="O43"/>
      <c r="P43"/>
      <c r="Q43"/>
      <c r="R43"/>
      <c r="S43"/>
      <c r="T43"/>
      <c r="U43"/>
      <c r="V43"/>
      <c r="W43"/>
    </row>
    <row r="44" spans="2:25" x14ac:dyDescent="0.2">
      <c r="X44" s="14"/>
      <c r="Y44" s="14"/>
    </row>
    <row r="45" spans="2:25" x14ac:dyDescent="0.2">
      <c r="X45" s="128"/>
      <c r="Y45" s="128"/>
    </row>
    <row r="46" spans="2:25" x14ac:dyDescent="0.2">
      <c r="X46" s="128"/>
      <c r="Y46" s="128"/>
    </row>
    <row r="47" spans="2:25" x14ac:dyDescent="0.2">
      <c r="X47" s="128"/>
      <c r="Y47" s="128"/>
    </row>
    <row r="48" spans="2:25" x14ac:dyDescent="0.2">
      <c r="X48" s="128"/>
      <c r="Y48" s="128"/>
    </row>
    <row r="49" spans="24:25" x14ac:dyDescent="0.2">
      <c r="X49" s="128"/>
      <c r="Y49" s="128"/>
    </row>
    <row r="50" spans="24:25" x14ac:dyDescent="0.2">
      <c r="X50" s="128"/>
      <c r="Y50" s="128"/>
    </row>
    <row r="51" spans="24:25" x14ac:dyDescent="0.2">
      <c r="X51" s="128"/>
      <c r="Y51" s="128"/>
    </row>
    <row r="52" spans="24:25" x14ac:dyDescent="0.2">
      <c r="X52" s="128"/>
      <c r="Y52" s="128"/>
    </row>
    <row r="53" spans="24:25" x14ac:dyDescent="0.2">
      <c r="X53" s="128"/>
      <c r="Y53" s="128"/>
    </row>
    <row r="54" spans="24:25" x14ac:dyDescent="0.2">
      <c r="X54" s="128"/>
      <c r="Y54" s="128"/>
    </row>
    <row r="55" spans="24:25" x14ac:dyDescent="0.2">
      <c r="X55" s="128"/>
      <c r="Y55" s="128"/>
    </row>
    <row r="56" spans="24:25" x14ac:dyDescent="0.2">
      <c r="X56" s="128"/>
      <c r="Y56" s="128"/>
    </row>
    <row r="57" spans="24:25" x14ac:dyDescent="0.2">
      <c r="X57" s="128"/>
      <c r="Y57" s="128"/>
    </row>
    <row r="58" spans="24:25" x14ac:dyDescent="0.2">
      <c r="X58" s="128"/>
      <c r="Y58" s="128"/>
    </row>
    <row r="59" spans="24:25" x14ac:dyDescent="0.2">
      <c r="X59" s="128"/>
      <c r="Y59" s="128"/>
    </row>
  </sheetData>
  <mergeCells count="21">
    <mergeCell ref="P2:P4"/>
    <mergeCell ref="Q2:Q4"/>
    <mergeCell ref="R2:R4"/>
    <mergeCell ref="S2:T3"/>
    <mergeCell ref="U2:V3"/>
    <mergeCell ref="W2:X3"/>
    <mergeCell ref="C3:G7"/>
    <mergeCell ref="H3:J7"/>
    <mergeCell ref="C9:G13"/>
    <mergeCell ref="H9:J13"/>
    <mergeCell ref="M2:M4"/>
    <mergeCell ref="N2:N4"/>
    <mergeCell ref="O2:O4"/>
    <mergeCell ref="C38:G41"/>
    <mergeCell ref="H38:J41"/>
    <mergeCell ref="C15:G19"/>
    <mergeCell ref="H15:J19"/>
    <mergeCell ref="C21:G27"/>
    <mergeCell ref="H21:J27"/>
    <mergeCell ref="C29:G36"/>
    <mergeCell ref="H29:J36"/>
  </mergeCells>
  <pageMargins left="0.7" right="0.7" top="0.75" bottom="0.75" header="0.3" footer="0.3"/>
  <pageSetup scale="35"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Σενάρια (Θέμα #2)</vt:lpstr>
      <vt:lpstr>Προτ. Προσθ. Τροπ. (Θέμα #1)</vt:lpstr>
      <vt:lpstr>Μετάβαση (Θέμα #3)</vt:lpstr>
      <vt:lpstr>ΧΧΔ βάσει τρέχουσας</vt:lpstr>
      <vt:lpstr>Κατηγορίες ΧΧΔ Καταναλωτών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Nikolaos Kantas</dc:creator>
  <cp:lastModifiedBy>Nikolaos Kantas</cp:lastModifiedBy>
  <dcterms:created xsi:type="dcterms:W3CDTF">2021-05-07T12:16:04Z</dcterms:created>
  <dcterms:modified xsi:type="dcterms:W3CDTF">2021-05-07T12:58:47Z</dcterms:modified>
</cp:coreProperties>
</file>