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ristinaCharalampid\OneDrive - ΕΤΑΙΡΕΙΑ ΔΙΑΝΟΜΗΣ ΕΛΛΗΝΙΚΟΥ ΦΥΣΙΚΟΥ ΑΕΡΙΟΥ ΜΟΝ. Α.Ε. HENGAS Α.Ε\Επιφάνεια εργασίας\dp hengas new\ΠΑ HENGAS final 09032023\"/>
    </mc:Choice>
  </mc:AlternateContent>
  <xr:revisionPtr revIDLastSave="0" documentId="13_ncr:1_{3AB98904-3224-4C5F-B9B7-7A3621C50023}" xr6:coauthVersionLast="47" xr6:coauthVersionMax="47" xr10:uidLastSave="{00000000-0000-0000-0000-000000000000}"/>
  <bookViews>
    <workbookView xWindow="1815" yWindow="285" windowWidth="25170" windowHeight="15315" tabRatio="701" firstSheet="8" activeTab="9" xr2:uid="{66BABBE6-436B-461F-8541-DA345D0E73E7}"/>
  </bookViews>
  <sheets>
    <sheet name="Αρχική σελίδα" sheetId="17" r:id="rId1"/>
    <sheet name="Ανάλυση δήμων -&gt;" sheetId="21" r:id="rId2"/>
    <sheet name="Γενική περιγραφή" sheetId="28" r:id="rId3"/>
    <sheet name="Ανάλυση για νέους πελάτες" sheetId="26" r:id="rId4"/>
    <sheet name="Ανάπτυξη δικτύου" sheetId="4" r:id="rId5"/>
    <sheet name="Ενεργοί πελάτες" sheetId="6" r:id="rId6"/>
    <sheet name="Ενεργές συνδέσεις" sheetId="5" r:id="rId7"/>
    <sheet name="Ενεργοί μετρητές" sheetId="29" r:id="rId8"/>
    <sheet name="Μέση ετήσια κατανάλωση" sheetId="12" r:id="rId9"/>
    <sheet name="Διανεμόμενες ποσότητες αερίου" sheetId="7" r:id="rId10"/>
    <sheet name="Παραδοχές μοναδιαίου κόστους" sheetId="19" r:id="rId11"/>
    <sheet name="Επενδύσεις" sheetId="27" r:id="rId12"/>
    <sheet name="Παραδοχές διείσδυσης - κάλυψης" sheetId="9" r:id="rId13"/>
    <sheet name="Δείκτες διείσδυσης - 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 r:id="rId23"/>
  </sheets>
  <externalReferences>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3" i="7" l="1"/>
  <c r="T74" i="7"/>
  <c r="T25" i="7" s="1"/>
  <c r="D379" i="22" s="1"/>
  <c r="D380" i="22" s="1"/>
  <c r="T75" i="7"/>
  <c r="T76" i="7"/>
  <c r="T27" i="7" s="1"/>
  <c r="D441" i="22" s="1"/>
  <c r="T77" i="7"/>
  <c r="T78" i="7"/>
  <c r="R73" i="7"/>
  <c r="R24" i="7" s="1"/>
  <c r="D126" i="18" s="1"/>
  <c r="R74" i="7"/>
  <c r="R75" i="7"/>
  <c r="R76" i="7"/>
  <c r="R77" i="7"/>
  <c r="W77" i="7" s="1"/>
  <c r="R78" i="7"/>
  <c r="G115" i="5"/>
  <c r="H115" i="5" s="1"/>
  <c r="AM139" i="4"/>
  <c r="AM140" i="4"/>
  <c r="AM141" i="4"/>
  <c r="AM142" i="4"/>
  <c r="AM143" i="4"/>
  <c r="AM51" i="4"/>
  <c r="D472" i="22"/>
  <c r="D473" i="22" s="1"/>
  <c r="D474" i="22" s="1"/>
  <c r="E465" i="22"/>
  <c r="E468" i="22" s="1"/>
  <c r="F465" i="22"/>
  <c r="G465" i="22"/>
  <c r="G486" i="22" s="1"/>
  <c r="H465" i="22"/>
  <c r="H486" i="22" s="1"/>
  <c r="D465" i="22"/>
  <c r="D468" i="22"/>
  <c r="D434" i="22"/>
  <c r="D455" i="22" s="1"/>
  <c r="E486" i="22"/>
  <c r="I468" i="22"/>
  <c r="H468" i="22"/>
  <c r="J467" i="22"/>
  <c r="J468" i="22" s="1"/>
  <c r="F486" i="22"/>
  <c r="J462" i="22"/>
  <c r="K462" i="22" s="1"/>
  <c r="L462" i="22" s="1"/>
  <c r="M462" i="22" s="1"/>
  <c r="N462" i="22" s="1"/>
  <c r="O462" i="22" s="1"/>
  <c r="P462" i="22" s="1"/>
  <c r="Q462" i="22" s="1"/>
  <c r="R462" i="22" s="1"/>
  <c r="S462" i="22" s="1"/>
  <c r="T462" i="22" s="1"/>
  <c r="U462" i="22" s="1"/>
  <c r="V462" i="22" s="1"/>
  <c r="W462" i="22" s="1"/>
  <c r="X462" i="22" s="1"/>
  <c r="Y462" i="22" s="1"/>
  <c r="Z462" i="22" s="1"/>
  <c r="AA462" i="22" s="1"/>
  <c r="I462" i="22"/>
  <c r="H462" i="22"/>
  <c r="G462" i="22"/>
  <c r="F462" i="22"/>
  <c r="E462" i="22"/>
  <c r="D462" i="22"/>
  <c r="E434" i="22"/>
  <c r="F434" i="22"/>
  <c r="F437" i="22" s="1"/>
  <c r="G434" i="22"/>
  <c r="G455" i="22" s="1"/>
  <c r="H434" i="22"/>
  <c r="H455" i="22" s="1"/>
  <c r="E455" i="22"/>
  <c r="F455" i="22"/>
  <c r="I437" i="22"/>
  <c r="J436" i="22"/>
  <c r="J437" i="22" s="1"/>
  <c r="H431" i="22"/>
  <c r="I431" i="22" s="1"/>
  <c r="J431" i="22" s="1"/>
  <c r="K431" i="22" s="1"/>
  <c r="L431" i="22" s="1"/>
  <c r="M431" i="22" s="1"/>
  <c r="N431" i="22" s="1"/>
  <c r="O431" i="22" s="1"/>
  <c r="P431" i="22" s="1"/>
  <c r="Q431" i="22" s="1"/>
  <c r="R431" i="22" s="1"/>
  <c r="S431" i="22" s="1"/>
  <c r="T431" i="22" s="1"/>
  <c r="U431" i="22" s="1"/>
  <c r="V431" i="22" s="1"/>
  <c r="W431" i="22" s="1"/>
  <c r="X431" i="22" s="1"/>
  <c r="Y431" i="22" s="1"/>
  <c r="Z431" i="22" s="1"/>
  <c r="AA431" i="22" s="1"/>
  <c r="G431" i="22"/>
  <c r="F431" i="22"/>
  <c r="E431" i="22"/>
  <c r="D431" i="22"/>
  <c r="E403" i="22"/>
  <c r="F403" i="22"/>
  <c r="G403" i="22"/>
  <c r="H403" i="22"/>
  <c r="H424" i="22" s="1"/>
  <c r="D403" i="22"/>
  <c r="I406" i="22"/>
  <c r="D406" i="22"/>
  <c r="K405" i="22"/>
  <c r="K406" i="22" s="1"/>
  <c r="J405" i="22"/>
  <c r="J406" i="22" s="1"/>
  <c r="G424" i="22"/>
  <c r="F424" i="22"/>
  <c r="E424" i="22"/>
  <c r="D424" i="22"/>
  <c r="H400" i="22"/>
  <c r="I400" i="22" s="1"/>
  <c r="J400" i="22" s="1"/>
  <c r="K400" i="22" s="1"/>
  <c r="L400" i="22" s="1"/>
  <c r="M400" i="22" s="1"/>
  <c r="N400" i="22" s="1"/>
  <c r="O400" i="22" s="1"/>
  <c r="P400" i="22" s="1"/>
  <c r="Q400" i="22" s="1"/>
  <c r="R400" i="22" s="1"/>
  <c r="S400" i="22" s="1"/>
  <c r="T400" i="22" s="1"/>
  <c r="U400" i="22" s="1"/>
  <c r="V400" i="22" s="1"/>
  <c r="W400" i="22" s="1"/>
  <c r="X400" i="22" s="1"/>
  <c r="Y400" i="22" s="1"/>
  <c r="Z400" i="22" s="1"/>
  <c r="AA400" i="22" s="1"/>
  <c r="G400" i="22"/>
  <c r="F400" i="22"/>
  <c r="E400" i="22"/>
  <c r="D400" i="22"/>
  <c r="E372" i="22"/>
  <c r="F372" i="22"/>
  <c r="G372" i="22"/>
  <c r="H372" i="22"/>
  <c r="H393" i="22" s="1"/>
  <c r="D372" i="22"/>
  <c r="E393" i="22"/>
  <c r="D375" i="22"/>
  <c r="F393" i="22"/>
  <c r="G393" i="22"/>
  <c r="I375" i="22"/>
  <c r="J374" i="22"/>
  <c r="J375" i="22" s="1"/>
  <c r="D393" i="22"/>
  <c r="H369" i="22"/>
  <c r="I369" i="22" s="1"/>
  <c r="J369" i="22" s="1"/>
  <c r="K369" i="22" s="1"/>
  <c r="L369" i="22" s="1"/>
  <c r="M369" i="22" s="1"/>
  <c r="N369" i="22" s="1"/>
  <c r="O369" i="22" s="1"/>
  <c r="P369" i="22" s="1"/>
  <c r="Q369" i="22" s="1"/>
  <c r="R369" i="22" s="1"/>
  <c r="S369" i="22" s="1"/>
  <c r="T369" i="22" s="1"/>
  <c r="U369" i="22" s="1"/>
  <c r="V369" i="22" s="1"/>
  <c r="W369" i="22" s="1"/>
  <c r="X369" i="22" s="1"/>
  <c r="Y369" i="22" s="1"/>
  <c r="Z369" i="22" s="1"/>
  <c r="AA369" i="22" s="1"/>
  <c r="G369" i="22"/>
  <c r="F369" i="22"/>
  <c r="E369" i="22"/>
  <c r="D369" i="22"/>
  <c r="F341" i="22"/>
  <c r="F362" i="22" s="1"/>
  <c r="G341" i="22"/>
  <c r="G344" i="22" s="1"/>
  <c r="H341" i="22"/>
  <c r="E341" i="22"/>
  <c r="E344" i="22" s="1"/>
  <c r="D341" i="22"/>
  <c r="D362" i="22" s="1"/>
  <c r="D118" i="18"/>
  <c r="E118" i="18"/>
  <c r="F118" i="18"/>
  <c r="G118" i="18"/>
  <c r="H118" i="18"/>
  <c r="D119" i="18"/>
  <c r="E119" i="18"/>
  <c r="F119" i="18"/>
  <c r="G119" i="18"/>
  <c r="H119" i="18"/>
  <c r="D120" i="18"/>
  <c r="E120" i="18"/>
  <c r="F120" i="18"/>
  <c r="G120" i="18"/>
  <c r="H120" i="18"/>
  <c r="D121" i="18"/>
  <c r="E121" i="18"/>
  <c r="F121" i="18"/>
  <c r="G121" i="18"/>
  <c r="H121" i="18"/>
  <c r="D122" i="18"/>
  <c r="E122" i="18"/>
  <c r="F122" i="18"/>
  <c r="G122" i="18"/>
  <c r="H122" i="18"/>
  <c r="D123" i="18"/>
  <c r="E123" i="18"/>
  <c r="F123" i="18"/>
  <c r="G123" i="18"/>
  <c r="H123" i="18"/>
  <c r="D124" i="18"/>
  <c r="E124" i="18"/>
  <c r="F124" i="18"/>
  <c r="G124" i="18"/>
  <c r="H124" i="18"/>
  <c r="D128" i="18"/>
  <c r="D97" i="18"/>
  <c r="E97" i="18"/>
  <c r="F97" i="18"/>
  <c r="G97" i="18"/>
  <c r="H97" i="18"/>
  <c r="D98" i="18"/>
  <c r="E98" i="18"/>
  <c r="F98" i="18"/>
  <c r="G98" i="18"/>
  <c r="H98" i="18"/>
  <c r="D99" i="18"/>
  <c r="E99" i="18"/>
  <c r="F99" i="18"/>
  <c r="G99" i="18"/>
  <c r="H99" i="18"/>
  <c r="D100" i="18"/>
  <c r="E100" i="18"/>
  <c r="F100" i="18"/>
  <c r="G100" i="18"/>
  <c r="H100" i="18"/>
  <c r="D101" i="18"/>
  <c r="E101" i="18"/>
  <c r="F101" i="18"/>
  <c r="G101" i="18"/>
  <c r="H101" i="18"/>
  <c r="D102" i="18"/>
  <c r="E102" i="18"/>
  <c r="F102" i="18"/>
  <c r="G102" i="18"/>
  <c r="H102" i="18"/>
  <c r="D103" i="18"/>
  <c r="E103" i="18"/>
  <c r="F103" i="18"/>
  <c r="G103" i="18"/>
  <c r="H103" i="18"/>
  <c r="D104" i="18"/>
  <c r="E104" i="18"/>
  <c r="F104" i="18"/>
  <c r="G104" i="18"/>
  <c r="H104" i="18"/>
  <c r="D105" i="18"/>
  <c r="E105" i="18"/>
  <c r="F105" i="18"/>
  <c r="G105" i="18"/>
  <c r="H105" i="18"/>
  <c r="D106" i="18"/>
  <c r="E106" i="18"/>
  <c r="F106" i="18"/>
  <c r="G106" i="18"/>
  <c r="H106" i="18"/>
  <c r="D107" i="18"/>
  <c r="E107" i="18"/>
  <c r="F107" i="18"/>
  <c r="G107" i="18"/>
  <c r="H107" i="18"/>
  <c r="D108" i="18"/>
  <c r="E108" i="18"/>
  <c r="F108" i="18"/>
  <c r="G108" i="18"/>
  <c r="H108" i="18"/>
  <c r="D109" i="18"/>
  <c r="E109" i="18"/>
  <c r="F109" i="18"/>
  <c r="G109" i="18"/>
  <c r="H109" i="18"/>
  <c r="D110" i="18"/>
  <c r="E110" i="18"/>
  <c r="F110" i="18"/>
  <c r="G110" i="18"/>
  <c r="H110" i="18"/>
  <c r="J343" i="22"/>
  <c r="H362" i="22"/>
  <c r="O93" i="13"/>
  <c r="O85" i="13"/>
  <c r="O86" i="13"/>
  <c r="O87" i="13"/>
  <c r="O88" i="13"/>
  <c r="O89" i="13"/>
  <c r="O90" i="13"/>
  <c r="O91" i="13"/>
  <c r="O94" i="13"/>
  <c r="O95" i="13"/>
  <c r="O96" i="13"/>
  <c r="O97" i="13"/>
  <c r="O98" i="13"/>
  <c r="AT27" i="9"/>
  <c r="AT26" i="9"/>
  <c r="AP27" i="9"/>
  <c r="AP26" i="9"/>
  <c r="AK27" i="9"/>
  <c r="AH26" i="9"/>
  <c r="AB27" i="9"/>
  <c r="AD26" i="9"/>
  <c r="AR25" i="9"/>
  <c r="AN22" i="9"/>
  <c r="AN23" i="9"/>
  <c r="AN25" i="9"/>
  <c r="AJ21" i="9"/>
  <c r="AJ22" i="9"/>
  <c r="AJ23" i="9"/>
  <c r="AJ25" i="9"/>
  <c r="AF22" i="9"/>
  <c r="AF23" i="9"/>
  <c r="AF24" i="9"/>
  <c r="AJ24" i="9" s="1"/>
  <c r="AN24" i="9" s="1"/>
  <c r="AR24" i="9" s="1"/>
  <c r="AF25" i="9"/>
  <c r="AB23" i="9"/>
  <c r="AB24" i="9"/>
  <c r="AB25" i="9"/>
  <c r="AB26" i="9"/>
  <c r="AF26" i="9" s="1"/>
  <c r="AJ26" i="9" s="1"/>
  <c r="AT25" i="9"/>
  <c r="AS25" i="9"/>
  <c r="AT24" i="9"/>
  <c r="AS24" i="9"/>
  <c r="AT23" i="9"/>
  <c r="AS23" i="9"/>
  <c r="AR23" i="9"/>
  <c r="AP25" i="9"/>
  <c r="AO25" i="9"/>
  <c r="AP24" i="9"/>
  <c r="AO24" i="9"/>
  <c r="AP23" i="9"/>
  <c r="AO23" i="9"/>
  <c r="AL25" i="9"/>
  <c r="AK25" i="9"/>
  <c r="AL24" i="9"/>
  <c r="AK24" i="9"/>
  <c r="AL23" i="9"/>
  <c r="AK23" i="9"/>
  <c r="AH25" i="9"/>
  <c r="AG25" i="9"/>
  <c r="AH24" i="9"/>
  <c r="AG24" i="9"/>
  <c r="AH23" i="9"/>
  <c r="AG23" i="9"/>
  <c r="AC25" i="9"/>
  <c r="AD25" i="9"/>
  <c r="AD24" i="9"/>
  <c r="AC23" i="9"/>
  <c r="AD23" i="9"/>
  <c r="X23" i="5"/>
  <c r="Y23" i="5"/>
  <c r="Z23" i="5"/>
  <c r="AA23" i="5"/>
  <c r="AB23" i="5" s="1"/>
  <c r="AC23" i="5"/>
  <c r="AD23" i="5"/>
  <c r="AE23" i="5"/>
  <c r="AF23" i="5"/>
  <c r="AG23" i="5" s="1"/>
  <c r="AH23" i="5"/>
  <c r="AI23" i="5"/>
  <c r="AJ23" i="5"/>
  <c r="AK23" i="5"/>
  <c r="AQ23" i="5" s="1"/>
  <c r="AL23" i="5"/>
  <c r="AM23" i="5"/>
  <c r="AN23" i="5"/>
  <c r="AO23" i="5"/>
  <c r="AP23" i="5"/>
  <c r="AR23" i="5"/>
  <c r="AW23" i="5" s="1"/>
  <c r="AS23" i="5"/>
  <c r="AT23" i="5"/>
  <c r="AU23" i="5"/>
  <c r="AV23" i="5" s="1"/>
  <c r="X24" i="5"/>
  <c r="AW24" i="5" s="1"/>
  <c r="Y24" i="5"/>
  <c r="Z24" i="5"/>
  <c r="AA24" i="5"/>
  <c r="AB24" i="5"/>
  <c r="AC24" i="5"/>
  <c r="AD24" i="5"/>
  <c r="AE24" i="5"/>
  <c r="AF24" i="5"/>
  <c r="AG24" i="5" s="1"/>
  <c r="AH24" i="5"/>
  <c r="AI24" i="5"/>
  <c r="AJ24" i="5"/>
  <c r="AK24" i="5"/>
  <c r="AL24" i="5" s="1"/>
  <c r="AM24" i="5"/>
  <c r="AN24" i="5"/>
  <c r="AO24" i="5"/>
  <c r="AP24" i="5"/>
  <c r="AQ24" i="5" s="1"/>
  <c r="AR24" i="5"/>
  <c r="AS24" i="5"/>
  <c r="AT24" i="5"/>
  <c r="AU24" i="5"/>
  <c r="AV24" i="5" s="1"/>
  <c r="X25" i="5"/>
  <c r="Y25" i="5"/>
  <c r="Z25" i="5"/>
  <c r="AA25" i="5"/>
  <c r="AB25" i="5" s="1"/>
  <c r="AC25" i="5"/>
  <c r="AW25" i="5" s="1"/>
  <c r="AD25" i="5"/>
  <c r="AE25" i="5"/>
  <c r="AF25" i="5"/>
  <c r="AG25" i="5" s="1"/>
  <c r="AH25" i="5"/>
  <c r="AI25" i="5"/>
  <c r="AJ25" i="5"/>
  <c r="AK25" i="5"/>
  <c r="AQ25" i="5" s="1"/>
  <c r="AM25" i="5"/>
  <c r="AN25" i="5"/>
  <c r="AO25" i="5"/>
  <c r="AP25" i="5"/>
  <c r="AR25" i="5"/>
  <c r="AS25" i="5"/>
  <c r="AT25" i="5"/>
  <c r="AU25" i="5"/>
  <c r="AV25" i="5" s="1"/>
  <c r="AX25" i="5"/>
  <c r="X26" i="5"/>
  <c r="AW26" i="5" s="1"/>
  <c r="Y26" i="5"/>
  <c r="Z26" i="5"/>
  <c r="AA26" i="5"/>
  <c r="AB26" i="5"/>
  <c r="AC26" i="5"/>
  <c r="AD26" i="5"/>
  <c r="AE26" i="5"/>
  <c r="AF26" i="5"/>
  <c r="AG26" i="5" s="1"/>
  <c r="AH26" i="5"/>
  <c r="AI26" i="5"/>
  <c r="AJ26" i="5"/>
  <c r="AK26" i="5"/>
  <c r="AL26" i="5"/>
  <c r="AM26" i="5"/>
  <c r="AN26" i="5"/>
  <c r="AO26" i="5"/>
  <c r="AP26" i="5"/>
  <c r="AQ26" i="5" s="1"/>
  <c r="AR26" i="5"/>
  <c r="AS26" i="5"/>
  <c r="AT26" i="5"/>
  <c r="AU26" i="5"/>
  <c r="AV26" i="5" s="1"/>
  <c r="AX26" i="5"/>
  <c r="X27" i="5"/>
  <c r="Y27" i="5"/>
  <c r="Z27" i="5"/>
  <c r="AA27" i="5"/>
  <c r="AB27" i="5" s="1"/>
  <c r="AC27" i="5"/>
  <c r="AD27" i="5"/>
  <c r="AE27" i="5"/>
  <c r="AF27" i="5"/>
  <c r="AL27" i="5" s="1"/>
  <c r="AH27" i="5"/>
  <c r="AI27" i="5"/>
  <c r="AJ27" i="5"/>
  <c r="AK27" i="5"/>
  <c r="AM27" i="5"/>
  <c r="AN27" i="5"/>
  <c r="AO27" i="5"/>
  <c r="AP27" i="5"/>
  <c r="AQ27" i="5"/>
  <c r="AR27" i="5"/>
  <c r="AW27" i="5" s="1"/>
  <c r="AS27" i="5"/>
  <c r="AT27" i="5"/>
  <c r="AU27" i="5"/>
  <c r="AV27" i="5" s="1"/>
  <c r="S24" i="7"/>
  <c r="T24" i="7"/>
  <c r="D348" i="22" s="1"/>
  <c r="D349" i="22" s="1"/>
  <c r="D350" i="22" s="1"/>
  <c r="V24" i="7"/>
  <c r="Y24" i="7"/>
  <c r="AB24" i="7"/>
  <c r="AE24" i="7"/>
  <c r="AH24" i="7"/>
  <c r="AK24" i="7"/>
  <c r="AN24" i="7"/>
  <c r="AQ24" i="7"/>
  <c r="R25" i="7"/>
  <c r="D127" i="18" s="1"/>
  <c r="S25" i="7"/>
  <c r="V25" i="7"/>
  <c r="Y25" i="7"/>
  <c r="AB25" i="7"/>
  <c r="AE25" i="7"/>
  <c r="AH25" i="7"/>
  <c r="AK25" i="7"/>
  <c r="AN25" i="7"/>
  <c r="AQ25" i="7"/>
  <c r="R26" i="7"/>
  <c r="T26" i="7"/>
  <c r="D410" i="22" s="1"/>
  <c r="D411" i="22" s="1"/>
  <c r="D412" i="22" s="1"/>
  <c r="D414" i="22" s="1"/>
  <c r="V26" i="7"/>
  <c r="W26" i="7"/>
  <c r="AB26" i="7"/>
  <c r="AH26" i="7"/>
  <c r="AK26" i="7"/>
  <c r="AN26" i="7"/>
  <c r="AQ26" i="7"/>
  <c r="R27" i="7"/>
  <c r="D129" i="18" s="1"/>
  <c r="S27" i="7"/>
  <c r="V27" i="7"/>
  <c r="Y27" i="7"/>
  <c r="AB27" i="7"/>
  <c r="AE27" i="7"/>
  <c r="AH27" i="7"/>
  <c r="AK27" i="7"/>
  <c r="AN27" i="7"/>
  <c r="AQ27" i="7"/>
  <c r="S28" i="7"/>
  <c r="T28" i="7"/>
  <c r="V28" i="7"/>
  <c r="Y28" i="7"/>
  <c r="AB28" i="7"/>
  <c r="AE28" i="7"/>
  <c r="AH28" i="7"/>
  <c r="AK28" i="7"/>
  <c r="AN28" i="7"/>
  <c r="AQ28" i="7"/>
  <c r="X23" i="6"/>
  <c r="AM23" i="6" s="1"/>
  <c r="Y23" i="6"/>
  <c r="Z23" i="6" s="1"/>
  <c r="AA23" i="6"/>
  <c r="AD23" i="6"/>
  <c r="AG23" i="6"/>
  <c r="AJ23" i="6"/>
  <c r="H21" i="18" s="1"/>
  <c r="X24" i="6"/>
  <c r="Y24" i="6"/>
  <c r="AB24" i="6" s="1"/>
  <c r="Z24" i="6"/>
  <c r="AA24" i="6"/>
  <c r="AD24" i="6"/>
  <c r="AM24" i="6" s="1"/>
  <c r="AG24" i="6"/>
  <c r="G22" i="18" s="1"/>
  <c r="AJ24" i="6"/>
  <c r="X25" i="6"/>
  <c r="AM25" i="6" s="1"/>
  <c r="Y25" i="6"/>
  <c r="Z25" i="6" s="1"/>
  <c r="AA25" i="6"/>
  <c r="AD25" i="6"/>
  <c r="AG25" i="6"/>
  <c r="AJ25" i="6"/>
  <c r="H23" i="18" s="1"/>
  <c r="X26" i="6"/>
  <c r="Y26" i="6"/>
  <c r="Z26" i="6" s="1"/>
  <c r="AA26" i="6"/>
  <c r="AD26" i="6"/>
  <c r="AG26" i="6"/>
  <c r="AM26" i="6" s="1"/>
  <c r="AJ26" i="6"/>
  <c r="X27" i="6"/>
  <c r="Y27" i="6"/>
  <c r="Z27" i="6"/>
  <c r="AA27" i="6"/>
  <c r="AB27" i="6" s="1"/>
  <c r="AD27" i="6"/>
  <c r="AG27" i="6"/>
  <c r="AJ27" i="6"/>
  <c r="D21" i="18"/>
  <c r="E21" i="18"/>
  <c r="F21" i="18"/>
  <c r="G21" i="18"/>
  <c r="D22" i="18"/>
  <c r="E22" i="18"/>
  <c r="H22" i="18"/>
  <c r="D23" i="18"/>
  <c r="E23" i="18"/>
  <c r="F23" i="18"/>
  <c r="G23" i="18"/>
  <c r="G25" i="18"/>
  <c r="I147" i="27"/>
  <c r="E147" i="27"/>
  <c r="F147" i="27"/>
  <c r="G147" i="27"/>
  <c r="H147" i="27"/>
  <c r="D22" i="27"/>
  <c r="E148" i="27"/>
  <c r="F148" i="27"/>
  <c r="G148" i="27"/>
  <c r="H148" i="27"/>
  <c r="I148" i="27"/>
  <c r="I149" i="27"/>
  <c r="E149" i="27"/>
  <c r="F149" i="27"/>
  <c r="G149" i="27"/>
  <c r="H149" i="27"/>
  <c r="E150" i="27"/>
  <c r="F150" i="27"/>
  <c r="G150" i="27"/>
  <c r="H150" i="27"/>
  <c r="I150" i="27"/>
  <c r="I151" i="27"/>
  <c r="E151" i="27"/>
  <c r="F151" i="27"/>
  <c r="G151" i="27"/>
  <c r="H151" i="27"/>
  <c r="D105" i="27"/>
  <c r="E105" i="27"/>
  <c r="I105" i="27" s="1"/>
  <c r="F105" i="27"/>
  <c r="G105" i="27"/>
  <c r="H105" i="27"/>
  <c r="D106" i="27"/>
  <c r="E106" i="27"/>
  <c r="F106" i="27"/>
  <c r="G106" i="27"/>
  <c r="H106" i="27"/>
  <c r="I106" i="27"/>
  <c r="D107" i="27"/>
  <c r="E107" i="27"/>
  <c r="I107" i="27" s="1"/>
  <c r="F107" i="27"/>
  <c r="G107" i="27"/>
  <c r="H107" i="27"/>
  <c r="D108" i="27"/>
  <c r="E108" i="27"/>
  <c r="F108" i="27"/>
  <c r="G108" i="27"/>
  <c r="H108" i="27"/>
  <c r="I108" i="27"/>
  <c r="D109" i="27"/>
  <c r="E109" i="27"/>
  <c r="I109" i="27" s="1"/>
  <c r="F109" i="27"/>
  <c r="G109" i="27"/>
  <c r="H109" i="27"/>
  <c r="D84" i="27"/>
  <c r="I84" i="27" s="1"/>
  <c r="E84" i="27"/>
  <c r="F84" i="27"/>
  <c r="G84" i="27"/>
  <c r="H84" i="27"/>
  <c r="D85" i="27"/>
  <c r="E85" i="27"/>
  <c r="F85" i="27"/>
  <c r="G85" i="27"/>
  <c r="H85" i="27"/>
  <c r="I85" i="27"/>
  <c r="D86" i="27"/>
  <c r="I86" i="27" s="1"/>
  <c r="E86" i="27"/>
  <c r="F86" i="27"/>
  <c r="F23" i="27" s="1"/>
  <c r="G86" i="27"/>
  <c r="H86" i="27"/>
  <c r="D87" i="27"/>
  <c r="E87" i="27"/>
  <c r="F87" i="27"/>
  <c r="G87" i="27"/>
  <c r="H87" i="27"/>
  <c r="I87" i="27"/>
  <c r="D88" i="27"/>
  <c r="I88" i="27" s="1"/>
  <c r="E88" i="27"/>
  <c r="F88" i="27"/>
  <c r="G88" i="27"/>
  <c r="H88" i="27"/>
  <c r="AK51" i="4"/>
  <c r="AH51" i="4"/>
  <c r="AE51" i="4"/>
  <c r="AB51" i="4"/>
  <c r="Y51" i="4"/>
  <c r="D63" i="27"/>
  <c r="I63" i="27" s="1"/>
  <c r="E63" i="27"/>
  <c r="F63" i="27"/>
  <c r="G63" i="27"/>
  <c r="H63" i="27"/>
  <c r="D64" i="27"/>
  <c r="E64" i="27"/>
  <c r="F64" i="27"/>
  <c r="G64" i="27"/>
  <c r="H64" i="27"/>
  <c r="I64" i="27"/>
  <c r="D65" i="27"/>
  <c r="I65" i="27" s="1"/>
  <c r="E65" i="27"/>
  <c r="F65" i="27"/>
  <c r="G65" i="27"/>
  <c r="H65" i="27"/>
  <c r="D66" i="27"/>
  <c r="E66" i="27"/>
  <c r="F66" i="27"/>
  <c r="G66" i="27"/>
  <c r="H66" i="27"/>
  <c r="D67" i="27"/>
  <c r="D25" i="27" s="1"/>
  <c r="E67" i="27"/>
  <c r="F67" i="27"/>
  <c r="G67" i="27"/>
  <c r="G25" i="27" s="1"/>
  <c r="H67" i="27"/>
  <c r="D41" i="27"/>
  <c r="D42" i="27"/>
  <c r="D21" i="27" s="1"/>
  <c r="D43" i="27"/>
  <c r="D44" i="27"/>
  <c r="D45" i="27"/>
  <c r="D46" i="27"/>
  <c r="F21" i="27"/>
  <c r="G21" i="27"/>
  <c r="E23" i="27"/>
  <c r="G23" i="27"/>
  <c r="R169" i="7"/>
  <c r="T169" i="7"/>
  <c r="W169" i="7" s="1"/>
  <c r="X169" i="7" s="1"/>
  <c r="U169" i="7"/>
  <c r="V169" i="7"/>
  <c r="AB169" i="7"/>
  <c r="AH169" i="7"/>
  <c r="AN169" i="7"/>
  <c r="R170" i="7"/>
  <c r="T170" i="7"/>
  <c r="V170" i="7"/>
  <c r="AB170" i="7"/>
  <c r="AH170" i="7"/>
  <c r="AN170" i="7"/>
  <c r="R171" i="7"/>
  <c r="T171" i="7" s="1"/>
  <c r="V171" i="7"/>
  <c r="AB171" i="7"/>
  <c r="AH171" i="7"/>
  <c r="AN171" i="7"/>
  <c r="R172" i="7"/>
  <c r="T172" i="7"/>
  <c r="U172" i="7"/>
  <c r="V172" i="7"/>
  <c r="W172" i="7"/>
  <c r="X172" i="7"/>
  <c r="AC172" i="7" s="1"/>
  <c r="AB172" i="7"/>
  <c r="AH172" i="7"/>
  <c r="AN172" i="7"/>
  <c r="R173" i="7"/>
  <c r="T173" i="7"/>
  <c r="V173" i="7"/>
  <c r="W173" i="7"/>
  <c r="X173" i="7" s="1"/>
  <c r="AB173" i="7"/>
  <c r="AH173" i="7"/>
  <c r="AN173" i="7"/>
  <c r="R144" i="7"/>
  <c r="T144" i="7" s="1"/>
  <c r="V144" i="7"/>
  <c r="AB144" i="7"/>
  <c r="AH144" i="7"/>
  <c r="AN144" i="7"/>
  <c r="R145" i="7"/>
  <c r="T145" i="7"/>
  <c r="V145" i="7"/>
  <c r="AB145" i="7"/>
  <c r="AH145" i="7"/>
  <c r="AN145" i="7"/>
  <c r="R146" i="7"/>
  <c r="T146" i="7" s="1"/>
  <c r="V146" i="7"/>
  <c r="AB146" i="7"/>
  <c r="AH146" i="7"/>
  <c r="AN146" i="7"/>
  <c r="R147" i="7"/>
  <c r="T147" i="7" s="1"/>
  <c r="V147" i="7"/>
  <c r="AB147" i="7"/>
  <c r="AH147" i="7"/>
  <c r="AN147" i="7"/>
  <c r="R148" i="7"/>
  <c r="T148" i="7" s="1"/>
  <c r="V148" i="7"/>
  <c r="AB148" i="7"/>
  <c r="AH148" i="7"/>
  <c r="AN148" i="7"/>
  <c r="R149" i="7"/>
  <c r="T149" i="7"/>
  <c r="V149" i="7"/>
  <c r="X149" i="7" s="1"/>
  <c r="W149" i="7"/>
  <c r="AB149" i="7"/>
  <c r="AH149" i="7"/>
  <c r="AN149" i="7"/>
  <c r="R121" i="7"/>
  <c r="T121" i="7" s="1"/>
  <c r="V121" i="7"/>
  <c r="AB121" i="7"/>
  <c r="AH121" i="7"/>
  <c r="AN121" i="7"/>
  <c r="R122" i="7"/>
  <c r="T122" i="7"/>
  <c r="V122" i="7"/>
  <c r="AB122" i="7"/>
  <c r="AH122" i="7"/>
  <c r="AN122" i="7"/>
  <c r="R123" i="7"/>
  <c r="T123" i="7" s="1"/>
  <c r="V123" i="7"/>
  <c r="AB123" i="7"/>
  <c r="AH123" i="7"/>
  <c r="AN123" i="7"/>
  <c r="R124" i="7"/>
  <c r="T124" i="7" s="1"/>
  <c r="V124" i="7"/>
  <c r="AB124" i="7"/>
  <c r="AH124" i="7"/>
  <c r="AN124" i="7"/>
  <c r="R125" i="7"/>
  <c r="T125" i="7"/>
  <c r="V125" i="7"/>
  <c r="W125" i="7"/>
  <c r="X125" i="7" s="1"/>
  <c r="AB125" i="7"/>
  <c r="AH125" i="7"/>
  <c r="AN125" i="7"/>
  <c r="R97" i="7"/>
  <c r="W97" i="7" s="1"/>
  <c r="T97" i="7"/>
  <c r="U97" i="7" s="1"/>
  <c r="V97" i="7"/>
  <c r="AB97" i="7"/>
  <c r="AH97" i="7"/>
  <c r="AN97" i="7"/>
  <c r="R98" i="7"/>
  <c r="T98" i="7" s="1"/>
  <c r="V98" i="7"/>
  <c r="AB98" i="7"/>
  <c r="AH98" i="7"/>
  <c r="AN98" i="7"/>
  <c r="R99" i="7"/>
  <c r="T99" i="7"/>
  <c r="U99" i="7" s="1"/>
  <c r="V99" i="7"/>
  <c r="W99" i="7"/>
  <c r="X99" i="7"/>
  <c r="Z99" i="7"/>
  <c r="AA99" i="7" s="1"/>
  <c r="AB99" i="7"/>
  <c r="AD99" i="7" s="1"/>
  <c r="AC99" i="7"/>
  <c r="AH99" i="7"/>
  <c r="AN99" i="7"/>
  <c r="R100" i="7"/>
  <c r="T100" i="7" s="1"/>
  <c r="V100" i="7"/>
  <c r="W100" i="7"/>
  <c r="X100" i="7"/>
  <c r="AC100" i="7" s="1"/>
  <c r="AB100" i="7"/>
  <c r="AH100" i="7"/>
  <c r="AN100" i="7"/>
  <c r="R101" i="7"/>
  <c r="T101" i="7"/>
  <c r="V101" i="7"/>
  <c r="X101" i="7" s="1"/>
  <c r="W101" i="7"/>
  <c r="AB101" i="7"/>
  <c r="AH101" i="7"/>
  <c r="AN101" i="7"/>
  <c r="V73" i="7"/>
  <c r="AB73" i="7"/>
  <c r="AH73" i="7"/>
  <c r="AN73" i="7"/>
  <c r="V74" i="7"/>
  <c r="W74" i="7"/>
  <c r="W25" i="7" s="1"/>
  <c r="AB74" i="7"/>
  <c r="AH74" i="7"/>
  <c r="AN74" i="7"/>
  <c r="V75" i="7"/>
  <c r="W75" i="7"/>
  <c r="X75" i="7" s="1"/>
  <c r="AB75" i="7"/>
  <c r="AH75" i="7"/>
  <c r="AN75" i="7"/>
  <c r="V76" i="7"/>
  <c r="W76" i="7"/>
  <c r="W27" i="7" s="1"/>
  <c r="AB76" i="7"/>
  <c r="AH76" i="7"/>
  <c r="AN76" i="7"/>
  <c r="V77" i="7"/>
  <c r="AB77" i="7"/>
  <c r="AH77" i="7"/>
  <c r="AN77" i="7"/>
  <c r="R49" i="7"/>
  <c r="W49" i="7" s="1"/>
  <c r="T49" i="7"/>
  <c r="U49" i="7" s="1"/>
  <c r="V49" i="7"/>
  <c r="X49" i="7" s="1"/>
  <c r="AB49" i="7"/>
  <c r="AH49" i="7"/>
  <c r="AN49" i="7"/>
  <c r="R50" i="7"/>
  <c r="T50" i="7" s="1"/>
  <c r="V50" i="7"/>
  <c r="AB50" i="7"/>
  <c r="AH50" i="7"/>
  <c r="AN50" i="7"/>
  <c r="R51" i="7"/>
  <c r="T51" i="7" s="1"/>
  <c r="V51" i="7"/>
  <c r="AB51" i="7"/>
  <c r="AH51" i="7"/>
  <c r="AN51" i="7"/>
  <c r="R52" i="7"/>
  <c r="T52" i="7" s="1"/>
  <c r="V52" i="7"/>
  <c r="W52" i="7"/>
  <c r="X52" i="7"/>
  <c r="Z52" i="7" s="1"/>
  <c r="AA52" i="7" s="1"/>
  <c r="AB52" i="7"/>
  <c r="AH52" i="7"/>
  <c r="AN52" i="7"/>
  <c r="R53" i="7"/>
  <c r="T53" i="7"/>
  <c r="U53" i="7"/>
  <c r="V53" i="7"/>
  <c r="X53" i="7" s="1"/>
  <c r="W53" i="7"/>
  <c r="AB53" i="7"/>
  <c r="AH53" i="7"/>
  <c r="AN53" i="7"/>
  <c r="F83" i="12"/>
  <c r="G83" i="12" s="1"/>
  <c r="F85" i="12"/>
  <c r="F86" i="12"/>
  <c r="F87" i="12"/>
  <c r="G85" i="26"/>
  <c r="F85" i="26"/>
  <c r="AI119" i="5" s="1"/>
  <c r="E85" i="26"/>
  <c r="E207" i="26" s="1"/>
  <c r="D85" i="26"/>
  <c r="D207" i="26" s="1"/>
  <c r="D205" i="26"/>
  <c r="E205" i="26"/>
  <c r="F205" i="26"/>
  <c r="G205" i="26"/>
  <c r="H205" i="26"/>
  <c r="D206" i="26"/>
  <c r="E206" i="26"/>
  <c r="F206" i="26"/>
  <c r="G206" i="26"/>
  <c r="H206" i="26"/>
  <c r="F207" i="26"/>
  <c r="G207" i="26"/>
  <c r="H207" i="26"/>
  <c r="D208" i="26"/>
  <c r="E208" i="26"/>
  <c r="F208" i="26"/>
  <c r="G208" i="26"/>
  <c r="H208" i="26"/>
  <c r="E204" i="26"/>
  <c r="F204" i="26"/>
  <c r="G204" i="26"/>
  <c r="H204" i="26"/>
  <c r="D204" i="26"/>
  <c r="G86" i="26"/>
  <c r="F86" i="26"/>
  <c r="E86" i="26"/>
  <c r="D86" i="26"/>
  <c r="Y119" i="5"/>
  <c r="G66" i="26"/>
  <c r="F66" i="26"/>
  <c r="E66" i="26"/>
  <c r="D66" i="26"/>
  <c r="G65" i="26"/>
  <c r="F65" i="26"/>
  <c r="E65" i="26"/>
  <c r="D65" i="26"/>
  <c r="G26" i="26"/>
  <c r="F26" i="26"/>
  <c r="E26" i="26"/>
  <c r="D26" i="26"/>
  <c r="G25" i="26"/>
  <c r="F25" i="26"/>
  <c r="E25" i="26"/>
  <c r="D25" i="26"/>
  <c r="D45" i="26"/>
  <c r="E45" i="26"/>
  <c r="F45" i="26"/>
  <c r="G45" i="26"/>
  <c r="D46" i="26"/>
  <c r="E46" i="26"/>
  <c r="F46" i="26"/>
  <c r="G46" i="26"/>
  <c r="I266" i="26"/>
  <c r="J266" i="26"/>
  <c r="K266" i="26"/>
  <c r="I267" i="26"/>
  <c r="J267" i="26" s="1"/>
  <c r="K267" i="26"/>
  <c r="I268" i="26"/>
  <c r="J268" i="26"/>
  <c r="K268" i="26"/>
  <c r="I269" i="26"/>
  <c r="J269" i="26"/>
  <c r="K269" i="26"/>
  <c r="I270" i="26"/>
  <c r="J270" i="26"/>
  <c r="K270" i="26"/>
  <c r="I271" i="26"/>
  <c r="J271" i="26" s="1"/>
  <c r="K271" i="26"/>
  <c r="X23" i="29"/>
  <c r="AW23" i="29" s="1"/>
  <c r="Y23" i="29"/>
  <c r="Z23" i="29"/>
  <c r="AA23" i="29"/>
  <c r="AB23" i="29"/>
  <c r="AC23" i="29"/>
  <c r="AD23" i="29"/>
  <c r="AE23" i="29"/>
  <c r="AF23" i="29"/>
  <c r="AG23" i="29" s="1"/>
  <c r="AH23" i="29"/>
  <c r="AI23" i="29"/>
  <c r="AJ23" i="29"/>
  <c r="AK23" i="29"/>
  <c r="AL23" i="29" s="1"/>
  <c r="AM23" i="29"/>
  <c r="AN23" i="29"/>
  <c r="AO23" i="29"/>
  <c r="AP23" i="29"/>
  <c r="AR23" i="29"/>
  <c r="AS23" i="29"/>
  <c r="AT23" i="29"/>
  <c r="AU23" i="29"/>
  <c r="AV23" i="29"/>
  <c r="X24" i="29"/>
  <c r="AW24" i="29" s="1"/>
  <c r="Y24" i="29"/>
  <c r="Z24" i="29"/>
  <c r="AA24" i="29"/>
  <c r="AB24" i="29" s="1"/>
  <c r="AC24" i="29"/>
  <c r="AD24" i="29"/>
  <c r="AE24" i="29"/>
  <c r="AF24" i="29"/>
  <c r="AG24" i="29"/>
  <c r="AH24" i="29"/>
  <c r="AI24" i="29"/>
  <c r="AJ24" i="29"/>
  <c r="AK24" i="29"/>
  <c r="AL24" i="29"/>
  <c r="AM24" i="29"/>
  <c r="AN24" i="29"/>
  <c r="AO24" i="29"/>
  <c r="AP24" i="29"/>
  <c r="AQ24" i="29" s="1"/>
  <c r="AR24" i="29"/>
  <c r="AS24" i="29"/>
  <c r="AT24" i="29"/>
  <c r="AU24" i="29"/>
  <c r="AV24" i="29" s="1"/>
  <c r="X25" i="29"/>
  <c r="AW25" i="29" s="1"/>
  <c r="Y25" i="29"/>
  <c r="Z25" i="29"/>
  <c r="AA25" i="29"/>
  <c r="AB25" i="29"/>
  <c r="AC25" i="29"/>
  <c r="AD25" i="29"/>
  <c r="AE25" i="29"/>
  <c r="AF25" i="29"/>
  <c r="AG25" i="29" s="1"/>
  <c r="AH25" i="29"/>
  <c r="AI25" i="29"/>
  <c r="AJ25" i="29"/>
  <c r="AK25" i="29"/>
  <c r="AL25" i="29" s="1"/>
  <c r="AM25" i="29"/>
  <c r="AN25" i="29"/>
  <c r="AO25" i="29"/>
  <c r="AP25" i="29"/>
  <c r="AQ25" i="29"/>
  <c r="AR25" i="29"/>
  <c r="AS25" i="29"/>
  <c r="AT25" i="29"/>
  <c r="AU25" i="29"/>
  <c r="AV25" i="29"/>
  <c r="AE26" i="29"/>
  <c r="AJ26" i="29"/>
  <c r="AO26" i="29"/>
  <c r="AT26" i="29"/>
  <c r="AE27" i="29"/>
  <c r="AJ27" i="29"/>
  <c r="AO27" i="29"/>
  <c r="AT27" i="29"/>
  <c r="Y162" i="29"/>
  <c r="X162" i="29" s="1"/>
  <c r="Z162" i="29"/>
  <c r="AD162" i="29"/>
  <c r="AC162" i="29" s="1"/>
  <c r="AE162" i="29"/>
  <c r="AI162" i="29"/>
  <c r="AH162" i="29" s="1"/>
  <c r="AJ162" i="29"/>
  <c r="AN162" i="29"/>
  <c r="AM162" i="29" s="1"/>
  <c r="AO162" i="29"/>
  <c r="AS162" i="29"/>
  <c r="AR162" i="29" s="1"/>
  <c r="AT162" i="29"/>
  <c r="X163" i="29"/>
  <c r="Y163" i="29"/>
  <c r="Z163" i="29"/>
  <c r="AA163" i="29"/>
  <c r="AB163" i="29" s="1"/>
  <c r="AC163" i="29"/>
  <c r="AD163" i="29"/>
  <c r="AE163" i="29"/>
  <c r="AF163" i="29"/>
  <c r="AG163" i="29"/>
  <c r="AI163" i="29"/>
  <c r="AH163" i="29" s="1"/>
  <c r="AJ163" i="29"/>
  <c r="AN163" i="29"/>
  <c r="AO163" i="29"/>
  <c r="AM163" i="29" s="1"/>
  <c r="AS163" i="29"/>
  <c r="AR163" i="29" s="1"/>
  <c r="AT163" i="29"/>
  <c r="Y164" i="29"/>
  <c r="X164" i="29" s="1"/>
  <c r="Z164" i="29"/>
  <c r="AD164" i="29"/>
  <c r="AC164" i="29" s="1"/>
  <c r="AE164" i="29"/>
  <c r="AH164" i="29"/>
  <c r="AI164" i="29"/>
  <c r="AJ164" i="29"/>
  <c r="AM164" i="29"/>
  <c r="AN164" i="29"/>
  <c r="AO164" i="29"/>
  <c r="AS164" i="29"/>
  <c r="AR164" i="29" s="1"/>
  <c r="AT164" i="29"/>
  <c r="Y165" i="29"/>
  <c r="X165" i="29" s="1"/>
  <c r="Z165" i="29"/>
  <c r="AC165" i="29"/>
  <c r="AD165" i="29"/>
  <c r="AE165" i="29"/>
  <c r="AI165" i="29"/>
  <c r="AH165" i="29" s="1"/>
  <c r="AJ165" i="29"/>
  <c r="AN165" i="29"/>
  <c r="AM165" i="29" s="1"/>
  <c r="AO165" i="29"/>
  <c r="AR165" i="29"/>
  <c r="AS165" i="29"/>
  <c r="AT165" i="29"/>
  <c r="Y166" i="29"/>
  <c r="Z166" i="29"/>
  <c r="X166" i="29" s="1"/>
  <c r="AC166" i="29"/>
  <c r="AD166" i="29"/>
  <c r="AE166" i="29"/>
  <c r="AI166" i="29"/>
  <c r="AH166" i="29" s="1"/>
  <c r="AJ166" i="29"/>
  <c r="AM166" i="29"/>
  <c r="AN166" i="29"/>
  <c r="AO166" i="29"/>
  <c r="AS166" i="29"/>
  <c r="AR166" i="29" s="1"/>
  <c r="AT166" i="29"/>
  <c r="Y139" i="29"/>
  <c r="X139" i="29" s="1"/>
  <c r="Z139" i="29"/>
  <c r="AD139" i="29"/>
  <c r="AE139" i="29"/>
  <c r="AC139" i="29" s="1"/>
  <c r="AI139" i="29"/>
  <c r="AH139" i="29" s="1"/>
  <c r="AJ139" i="29"/>
  <c r="AN139" i="29"/>
  <c r="AM139" i="29" s="1"/>
  <c r="AO139" i="29"/>
  <c r="AS139" i="29"/>
  <c r="AR139" i="29" s="1"/>
  <c r="AT139" i="29"/>
  <c r="Y140" i="29"/>
  <c r="X140" i="29" s="1"/>
  <c r="Z140" i="29"/>
  <c r="AD140" i="29"/>
  <c r="AE140" i="29"/>
  <c r="AC140" i="29" s="1"/>
  <c r="AI140" i="29"/>
  <c r="AH140" i="29" s="1"/>
  <c r="AJ140" i="29"/>
  <c r="AN140" i="29"/>
  <c r="AO140" i="29"/>
  <c r="AM140" i="29" s="1"/>
  <c r="AS140" i="29"/>
  <c r="AR140" i="29" s="1"/>
  <c r="AT140" i="29"/>
  <c r="X141" i="29"/>
  <c r="AW141" i="29" s="1"/>
  <c r="Y141" i="29"/>
  <c r="Z141" i="29"/>
  <c r="AD141" i="29"/>
  <c r="AC141" i="29" s="1"/>
  <c r="AE141" i="29"/>
  <c r="AI141" i="29"/>
  <c r="AH141" i="29" s="1"/>
  <c r="AJ141" i="29"/>
  <c r="AN141" i="29"/>
  <c r="AO141" i="29"/>
  <c r="AM141" i="29" s="1"/>
  <c r="AS141" i="29"/>
  <c r="AR141" i="29" s="1"/>
  <c r="AT141" i="29"/>
  <c r="Y142" i="29"/>
  <c r="X142" i="29" s="1"/>
  <c r="Z142" i="29"/>
  <c r="AC142" i="29"/>
  <c r="AD142" i="29"/>
  <c r="AE142" i="29"/>
  <c r="AH142" i="29"/>
  <c r="AI142" i="29"/>
  <c r="AJ142" i="29"/>
  <c r="AN142" i="29"/>
  <c r="AM142" i="29" s="1"/>
  <c r="AO142" i="29"/>
  <c r="AS142" i="29"/>
  <c r="AR142" i="29" s="1"/>
  <c r="AT142" i="29"/>
  <c r="Y143" i="29"/>
  <c r="X143" i="29" s="1"/>
  <c r="Z143" i="29"/>
  <c r="AC143" i="29"/>
  <c r="AD143" i="29"/>
  <c r="AE143" i="29"/>
  <c r="AI143" i="29"/>
  <c r="AH143" i="29" s="1"/>
  <c r="AJ143" i="29"/>
  <c r="AM143" i="29"/>
  <c r="AN143" i="29"/>
  <c r="AO143" i="29"/>
  <c r="AR143" i="29"/>
  <c r="AS143" i="29"/>
  <c r="AT143" i="29"/>
  <c r="Y116" i="29"/>
  <c r="Z116" i="29"/>
  <c r="X116" i="29" s="1"/>
  <c r="AD116" i="29"/>
  <c r="AC116" i="29" s="1"/>
  <c r="AE116" i="29"/>
  <c r="AI116" i="29"/>
  <c r="AH116" i="29" s="1"/>
  <c r="AJ116" i="29"/>
  <c r="AN116" i="29"/>
  <c r="AM116" i="29" s="1"/>
  <c r="AO116" i="29"/>
  <c r="AS116" i="29"/>
  <c r="AT116" i="29"/>
  <c r="AR116" i="29" s="1"/>
  <c r="X117" i="29"/>
  <c r="AW117" i="29" s="1"/>
  <c r="Y117" i="29"/>
  <c r="Z117" i="29"/>
  <c r="AD117" i="29"/>
  <c r="AC117" i="29" s="1"/>
  <c r="AE117" i="29"/>
  <c r="AI117" i="29"/>
  <c r="AJ117" i="29"/>
  <c r="AH117" i="29" s="1"/>
  <c r="AN117" i="29"/>
  <c r="AM117" i="29" s="1"/>
  <c r="AO117" i="29"/>
  <c r="AS117" i="29"/>
  <c r="AR117" i="29" s="1"/>
  <c r="AT117" i="29"/>
  <c r="X118" i="29"/>
  <c r="Y118" i="29"/>
  <c r="Z118" i="29"/>
  <c r="AD118" i="29"/>
  <c r="AC118" i="29" s="1"/>
  <c r="AE118" i="29"/>
  <c r="AH118" i="29"/>
  <c r="AI118" i="29"/>
  <c r="AJ118" i="29"/>
  <c r="AN118" i="29"/>
  <c r="AM118" i="29" s="1"/>
  <c r="AO118" i="29"/>
  <c r="AS118" i="29"/>
  <c r="AT118" i="29"/>
  <c r="AR118" i="29" s="1"/>
  <c r="Z119" i="29"/>
  <c r="AE119" i="29"/>
  <c r="AJ119" i="29"/>
  <c r="AO119" i="29"/>
  <c r="AT119" i="29"/>
  <c r="Y120" i="29"/>
  <c r="Y27" i="29" s="1"/>
  <c r="Z120" i="29"/>
  <c r="AE120" i="29"/>
  <c r="AJ120" i="29"/>
  <c r="AO120" i="29"/>
  <c r="AT120" i="29"/>
  <c r="Y93" i="29"/>
  <c r="X93" i="29" s="1"/>
  <c r="Z93" i="29"/>
  <c r="AD93" i="29"/>
  <c r="AC93" i="29" s="1"/>
  <c r="AE93" i="29"/>
  <c r="AI93" i="29"/>
  <c r="AH93" i="29" s="1"/>
  <c r="AJ93" i="29"/>
  <c r="AN93" i="29"/>
  <c r="AM93" i="29" s="1"/>
  <c r="AO93" i="29"/>
  <c r="AS93" i="29"/>
  <c r="AR93" i="29" s="1"/>
  <c r="AT93" i="29"/>
  <c r="X94" i="29"/>
  <c r="AW94" i="29" s="1"/>
  <c r="Y94" i="29"/>
  <c r="Z94" i="29"/>
  <c r="AD94" i="29"/>
  <c r="AC94" i="29" s="1"/>
  <c r="AE94" i="29"/>
  <c r="AI94" i="29"/>
  <c r="AH94" i="29" s="1"/>
  <c r="AJ94" i="29"/>
  <c r="AN94" i="29"/>
  <c r="AM94" i="29" s="1"/>
  <c r="AO94" i="29"/>
  <c r="AS94" i="29"/>
  <c r="AR94" i="29" s="1"/>
  <c r="AT94" i="29"/>
  <c r="Y95" i="29"/>
  <c r="X95" i="29" s="1"/>
  <c r="Z95" i="29"/>
  <c r="AC95" i="29"/>
  <c r="AD95" i="29"/>
  <c r="AE95" i="29"/>
  <c r="AH95" i="29"/>
  <c r="AI95" i="29"/>
  <c r="AJ95" i="29"/>
  <c r="AN95" i="29"/>
  <c r="AM95" i="29" s="1"/>
  <c r="AO95" i="29"/>
  <c r="AS95" i="29"/>
  <c r="AR95" i="29" s="1"/>
  <c r="AT95" i="29"/>
  <c r="Y96" i="29"/>
  <c r="AE96" i="29"/>
  <c r="AJ96" i="29"/>
  <c r="AO96" i="29"/>
  <c r="AT96" i="29"/>
  <c r="Y97" i="29"/>
  <c r="Z97" i="29"/>
  <c r="AE97" i="29"/>
  <c r="AJ97" i="29"/>
  <c r="AO97" i="29"/>
  <c r="AT97" i="29"/>
  <c r="Y70" i="29"/>
  <c r="X70" i="29" s="1"/>
  <c r="Z70" i="29"/>
  <c r="AD70" i="29"/>
  <c r="AC70" i="29" s="1"/>
  <c r="AE70" i="29"/>
  <c r="AI70" i="29"/>
  <c r="AH70" i="29" s="1"/>
  <c r="AJ70" i="29"/>
  <c r="AN70" i="29"/>
  <c r="AM70" i="29" s="1"/>
  <c r="AO70" i="29"/>
  <c r="AS70" i="29"/>
  <c r="AR70" i="29" s="1"/>
  <c r="AT70" i="29"/>
  <c r="Y71" i="29"/>
  <c r="X71" i="29" s="1"/>
  <c r="Z71" i="29"/>
  <c r="AC71" i="29"/>
  <c r="AD71" i="29"/>
  <c r="AE71" i="29"/>
  <c r="AI71" i="29"/>
  <c r="AH71" i="29" s="1"/>
  <c r="AJ71" i="29"/>
  <c r="AN71" i="29"/>
  <c r="AO71" i="29"/>
  <c r="AM71" i="29" s="1"/>
  <c r="AS71" i="29"/>
  <c r="AR71" i="29" s="1"/>
  <c r="AT71" i="29"/>
  <c r="Y72" i="29"/>
  <c r="X72" i="29" s="1"/>
  <c r="Z72" i="29"/>
  <c r="AD72" i="29"/>
  <c r="AC72" i="29" s="1"/>
  <c r="AE72" i="29"/>
  <c r="AI72" i="29"/>
  <c r="AH72" i="29" s="1"/>
  <c r="AJ72" i="29"/>
  <c r="AM72" i="29"/>
  <c r="AN72" i="29"/>
  <c r="AO72" i="29"/>
  <c r="AS72" i="29"/>
  <c r="AR72" i="29" s="1"/>
  <c r="AT72" i="29"/>
  <c r="Z73" i="29"/>
  <c r="AE73" i="29"/>
  <c r="AJ73" i="29"/>
  <c r="AN73" i="29"/>
  <c r="AM73" i="29" s="1"/>
  <c r="AO73" i="29"/>
  <c r="AT73" i="29"/>
  <c r="Y74" i="29"/>
  <c r="AE74" i="29"/>
  <c r="AJ74" i="29"/>
  <c r="AN74" i="29"/>
  <c r="AM74" i="29" s="1"/>
  <c r="AO74" i="29"/>
  <c r="AT74" i="29"/>
  <c r="Y47" i="29"/>
  <c r="X47" i="29" s="1"/>
  <c r="Z47" i="29"/>
  <c r="AD47" i="29"/>
  <c r="AC47" i="29" s="1"/>
  <c r="AE47" i="29"/>
  <c r="AI47" i="29"/>
  <c r="AH47" i="29" s="1"/>
  <c r="AJ47" i="29"/>
  <c r="AN47" i="29"/>
  <c r="AM47" i="29" s="1"/>
  <c r="AO47" i="29"/>
  <c r="AS47" i="29"/>
  <c r="AR47" i="29" s="1"/>
  <c r="AT47" i="29"/>
  <c r="Y48" i="29"/>
  <c r="X48" i="29" s="1"/>
  <c r="Z48" i="29"/>
  <c r="AC48" i="29"/>
  <c r="AD48" i="29"/>
  <c r="AE48" i="29"/>
  <c r="AI48" i="29"/>
  <c r="AH48" i="29" s="1"/>
  <c r="AJ48" i="29"/>
  <c r="AN48" i="29"/>
  <c r="AM48" i="29" s="1"/>
  <c r="AO48" i="29"/>
  <c r="AS48" i="29"/>
  <c r="AR48" i="29" s="1"/>
  <c r="AT48" i="29"/>
  <c r="Y49" i="29"/>
  <c r="X49" i="29" s="1"/>
  <c r="Z49" i="29"/>
  <c r="AD49" i="29"/>
  <c r="AC49" i="29" s="1"/>
  <c r="AE49" i="29"/>
  <c r="AI49" i="29"/>
  <c r="AH49" i="29" s="1"/>
  <c r="AJ49" i="29"/>
  <c r="AM49" i="29"/>
  <c r="AN49" i="29"/>
  <c r="AO49" i="29"/>
  <c r="AS49" i="29"/>
  <c r="AR49" i="29" s="1"/>
  <c r="AT49" i="29"/>
  <c r="Y50" i="29"/>
  <c r="X50" i="29" s="1"/>
  <c r="Z50" i="29"/>
  <c r="AE50" i="29"/>
  <c r="AJ50" i="29"/>
  <c r="AN50" i="29"/>
  <c r="AM50" i="29" s="1"/>
  <c r="AO50" i="29"/>
  <c r="AT50" i="29"/>
  <c r="Y51" i="29"/>
  <c r="Z51" i="29"/>
  <c r="X51" i="29" s="1"/>
  <c r="AE51" i="29"/>
  <c r="AJ51" i="29"/>
  <c r="AN51" i="29"/>
  <c r="AM51" i="29" s="1"/>
  <c r="AO51" i="29"/>
  <c r="AT51" i="29"/>
  <c r="Y70" i="5"/>
  <c r="X70" i="5" s="1"/>
  <c r="Z70" i="5"/>
  <c r="AD70" i="5"/>
  <c r="AC70" i="5" s="1"/>
  <c r="AE70" i="5"/>
  <c r="AI70" i="5"/>
  <c r="AH70" i="5" s="1"/>
  <c r="AJ70" i="5"/>
  <c r="AN70" i="5"/>
  <c r="AM70" i="5" s="1"/>
  <c r="AO70" i="5"/>
  <c r="AR70" i="5"/>
  <c r="AS70" i="5"/>
  <c r="AT70" i="5"/>
  <c r="X71" i="5"/>
  <c r="AW71" i="5" s="1"/>
  <c r="Y71" i="5"/>
  <c r="Z71" i="5"/>
  <c r="AD71" i="5"/>
  <c r="AC71" i="5" s="1"/>
  <c r="AE71" i="5"/>
  <c r="AI71" i="5"/>
  <c r="AH71" i="5" s="1"/>
  <c r="AJ71" i="5"/>
  <c r="AN71" i="5"/>
  <c r="AM71" i="5" s="1"/>
  <c r="AO71" i="5"/>
  <c r="AS71" i="5"/>
  <c r="AR71" i="5" s="1"/>
  <c r="AT71" i="5"/>
  <c r="Y72" i="5"/>
  <c r="X72" i="5" s="1"/>
  <c r="Z72" i="5"/>
  <c r="AD72" i="5"/>
  <c r="AE72" i="5"/>
  <c r="AC72" i="5" s="1"/>
  <c r="AH72" i="5"/>
  <c r="AI72" i="5"/>
  <c r="AJ72" i="5"/>
  <c r="AN72" i="5"/>
  <c r="AM72" i="5" s="1"/>
  <c r="AO72" i="5"/>
  <c r="AS72" i="5"/>
  <c r="AR72" i="5" s="1"/>
  <c r="AT72" i="5"/>
  <c r="Z73" i="5"/>
  <c r="AE73" i="5"/>
  <c r="AJ73" i="5"/>
  <c r="AO73" i="5"/>
  <c r="AT73" i="5"/>
  <c r="Y74" i="5"/>
  <c r="Z74" i="5"/>
  <c r="X74" i="5" s="1"/>
  <c r="AA74" i="5" s="1"/>
  <c r="AB74" i="5" s="1"/>
  <c r="AD74" i="5"/>
  <c r="AC74" i="5" s="1"/>
  <c r="AE74" i="5"/>
  <c r="AJ74" i="5"/>
  <c r="AO74" i="5"/>
  <c r="AT74" i="5"/>
  <c r="Z47" i="5"/>
  <c r="X47" i="5" s="1"/>
  <c r="AD47" i="5"/>
  <c r="AC47" i="5" s="1"/>
  <c r="AH47" i="5"/>
  <c r="AI47" i="5"/>
  <c r="AN47" i="5"/>
  <c r="AM47" i="5" s="1"/>
  <c r="AS47" i="5"/>
  <c r="AR47" i="5" s="1"/>
  <c r="X48" i="5"/>
  <c r="Z48" i="5"/>
  <c r="AA48" i="5"/>
  <c r="AB48" i="5"/>
  <c r="AD48" i="5"/>
  <c r="AC48" i="5" s="1"/>
  <c r="AI48" i="5"/>
  <c r="AH48" i="5" s="1"/>
  <c r="AM48" i="5"/>
  <c r="AN48" i="5"/>
  <c r="AS48" i="5"/>
  <c r="AR48" i="5" s="1"/>
  <c r="Z49" i="5"/>
  <c r="X49" i="5" s="1"/>
  <c r="AD49" i="5"/>
  <c r="AC49" i="5" s="1"/>
  <c r="AH49" i="5"/>
  <c r="AI49" i="5"/>
  <c r="AN49" i="5"/>
  <c r="AM49" i="5" s="1"/>
  <c r="AS49" i="5"/>
  <c r="AR49" i="5" s="1"/>
  <c r="Y50" i="5"/>
  <c r="X50" i="5" s="1"/>
  <c r="AA50" i="5" s="1"/>
  <c r="AD50" i="5"/>
  <c r="AC50" i="5" s="1"/>
  <c r="AI50" i="5"/>
  <c r="AH50" i="5" s="1"/>
  <c r="AM50" i="5"/>
  <c r="AN50" i="5"/>
  <c r="AN73" i="5" s="1"/>
  <c r="AM73" i="5" s="1"/>
  <c r="AS50" i="5"/>
  <c r="AR50" i="5" s="1"/>
  <c r="Z51" i="5"/>
  <c r="X51" i="5" s="1"/>
  <c r="AD51" i="5"/>
  <c r="AC51" i="5" s="1"/>
  <c r="AI51" i="5"/>
  <c r="AI74" i="5" s="1"/>
  <c r="AH74" i="5" s="1"/>
  <c r="AN51" i="5"/>
  <c r="AM51" i="5" s="1"/>
  <c r="AS51" i="5"/>
  <c r="AR51" i="5" s="1"/>
  <c r="Y162" i="5"/>
  <c r="X162" i="5" s="1"/>
  <c r="AD162" i="5"/>
  <c r="AC162" i="5" s="1"/>
  <c r="AH162" i="5"/>
  <c r="AM162" i="5"/>
  <c r="AR162" i="5"/>
  <c r="Y163" i="5"/>
  <c r="X163" i="5" s="1"/>
  <c r="AD163" i="5"/>
  <c r="AC163" i="5" s="1"/>
  <c r="AH163" i="5"/>
  <c r="AM163" i="5"/>
  <c r="AR163" i="5"/>
  <c r="Y164" i="5"/>
  <c r="X164" i="5" s="1"/>
  <c r="AD164" i="5"/>
  <c r="AC164" i="5" s="1"/>
  <c r="AH164" i="5"/>
  <c r="AM164" i="5"/>
  <c r="AR164" i="5"/>
  <c r="Y165" i="5"/>
  <c r="X165" i="5" s="1"/>
  <c r="AD165" i="5"/>
  <c r="AC165" i="5" s="1"/>
  <c r="AH165" i="5"/>
  <c r="AM165" i="5"/>
  <c r="AR165" i="5"/>
  <c r="Y166" i="5"/>
  <c r="X166" i="5" s="1"/>
  <c r="AD166" i="5"/>
  <c r="AC166" i="5" s="1"/>
  <c r="AH166" i="5"/>
  <c r="AM166" i="5"/>
  <c r="AR166" i="5"/>
  <c r="Y139" i="5"/>
  <c r="X139" i="5" s="1"/>
  <c r="AD139" i="5"/>
  <c r="AC139" i="5" s="1"/>
  <c r="AI139" i="5"/>
  <c r="AH139" i="5" s="1"/>
  <c r="AN139" i="5"/>
  <c r="AM139" i="5" s="1"/>
  <c r="AS139" i="5"/>
  <c r="AR139" i="5" s="1"/>
  <c r="X140" i="5"/>
  <c r="Y140" i="5"/>
  <c r="AA140" i="5"/>
  <c r="AB140" i="5" s="1"/>
  <c r="AD140" i="5"/>
  <c r="AC140" i="5" s="1"/>
  <c r="AH140" i="5"/>
  <c r="AI140" i="5"/>
  <c r="AM140" i="5"/>
  <c r="AN140" i="5"/>
  <c r="AS140" i="5"/>
  <c r="AR140" i="5" s="1"/>
  <c r="Y141" i="5"/>
  <c r="X141" i="5" s="1"/>
  <c r="AD141" i="5"/>
  <c r="AC141" i="5" s="1"/>
  <c r="AH141" i="5"/>
  <c r="AI141" i="5"/>
  <c r="AN141" i="5"/>
  <c r="AM141" i="5" s="1"/>
  <c r="AS141" i="5"/>
  <c r="AR141" i="5" s="1"/>
  <c r="X142" i="5"/>
  <c r="AA142" i="5" s="1"/>
  <c r="Y142" i="5"/>
  <c r="AD142" i="5"/>
  <c r="AC142" i="5" s="1"/>
  <c r="AH142" i="5"/>
  <c r="AI142" i="5"/>
  <c r="AM142" i="5"/>
  <c r="AN142" i="5"/>
  <c r="AS142" i="5"/>
  <c r="AR142" i="5" s="1"/>
  <c r="Y143" i="5"/>
  <c r="X143" i="5" s="1"/>
  <c r="AD143" i="5"/>
  <c r="AC143" i="5" s="1"/>
  <c r="AI143" i="5"/>
  <c r="AH143" i="5" s="1"/>
  <c r="AN143" i="5"/>
  <c r="AM143" i="5" s="1"/>
  <c r="AS143" i="5"/>
  <c r="AR143" i="5" s="1"/>
  <c r="Y116" i="5"/>
  <c r="X116" i="5" s="1"/>
  <c r="AC116" i="5"/>
  <c r="AD116" i="5"/>
  <c r="AI116" i="5"/>
  <c r="AH116" i="5" s="1"/>
  <c r="AN116" i="5"/>
  <c r="AM116" i="5" s="1"/>
  <c r="AR116" i="5"/>
  <c r="AS116" i="5"/>
  <c r="Y117" i="5"/>
  <c r="X117" i="5" s="1"/>
  <c r="AD117" i="5"/>
  <c r="AC117" i="5" s="1"/>
  <c r="AH117" i="5"/>
  <c r="AI117" i="5"/>
  <c r="AN117" i="5"/>
  <c r="AM117" i="5" s="1"/>
  <c r="AS117" i="5"/>
  <c r="AR117" i="5" s="1"/>
  <c r="X118" i="5"/>
  <c r="Y118" i="5"/>
  <c r="AA118" i="5"/>
  <c r="AD118" i="5"/>
  <c r="AC118" i="5" s="1"/>
  <c r="AI118" i="5"/>
  <c r="AH118" i="5" s="1"/>
  <c r="AM118" i="5"/>
  <c r="AN118" i="5"/>
  <c r="AS118" i="5"/>
  <c r="AR118" i="5" s="1"/>
  <c r="AD119" i="5"/>
  <c r="AC119" i="5" s="1"/>
  <c r="AN119" i="5"/>
  <c r="AM119" i="5" s="1"/>
  <c r="AS119" i="5"/>
  <c r="AR119" i="5" s="1"/>
  <c r="X120" i="5"/>
  <c r="AA120" i="5" s="1"/>
  <c r="AB120" i="5" s="1"/>
  <c r="Y120" i="5"/>
  <c r="AD120" i="5"/>
  <c r="AC120" i="5" s="1"/>
  <c r="AI120" i="5"/>
  <c r="AH120" i="5" s="1"/>
  <c r="AN120" i="5"/>
  <c r="AN120" i="29" s="1"/>
  <c r="AM120" i="29" s="1"/>
  <c r="AS120" i="5"/>
  <c r="AR120" i="5" s="1"/>
  <c r="Z93" i="5"/>
  <c r="X93" i="5" s="1"/>
  <c r="AC93" i="5"/>
  <c r="AD93" i="5"/>
  <c r="AI93" i="5"/>
  <c r="AH93" i="5" s="1"/>
  <c r="AN93" i="5"/>
  <c r="AM93" i="5" s="1"/>
  <c r="AR93" i="5"/>
  <c r="AS93" i="5"/>
  <c r="X94" i="5"/>
  <c r="Z94" i="5"/>
  <c r="AA94" i="5"/>
  <c r="AB94" i="5" s="1"/>
  <c r="AD94" i="5"/>
  <c r="AC94" i="5" s="1"/>
  <c r="AW94" i="5" s="1"/>
  <c r="AH94" i="5"/>
  <c r="AI94" i="5"/>
  <c r="AM94" i="5"/>
  <c r="AN94" i="5"/>
  <c r="AS94" i="5"/>
  <c r="AR94" i="5" s="1"/>
  <c r="X95" i="5"/>
  <c r="AA95" i="5" s="1"/>
  <c r="Z95" i="5"/>
  <c r="AD95" i="5"/>
  <c r="AC95" i="5" s="1"/>
  <c r="AH95" i="5"/>
  <c r="AI95" i="5"/>
  <c r="AM95" i="5"/>
  <c r="AN95" i="5"/>
  <c r="AS95" i="5"/>
  <c r="AR95" i="5" s="1"/>
  <c r="Z96" i="5"/>
  <c r="X96" i="5" s="1"/>
  <c r="AD96" i="5"/>
  <c r="AC96" i="5" s="1"/>
  <c r="AH96" i="5"/>
  <c r="AI96" i="5"/>
  <c r="AI96" i="29" s="1"/>
  <c r="AH96" i="29" s="1"/>
  <c r="AN96" i="5"/>
  <c r="AM96" i="5" s="1"/>
  <c r="AS96" i="5"/>
  <c r="AR96" i="5" s="1"/>
  <c r="Z97" i="5"/>
  <c r="X97" i="5" s="1"/>
  <c r="AD97" i="5"/>
  <c r="AD97" i="29" s="1"/>
  <c r="AC97" i="29" s="1"/>
  <c r="AI97" i="5"/>
  <c r="AH97" i="5" s="1"/>
  <c r="AN97" i="5"/>
  <c r="AM97" i="5" s="1"/>
  <c r="AS97" i="5"/>
  <c r="AS97" i="29" s="1"/>
  <c r="AR97" i="29" s="1"/>
  <c r="X140" i="6"/>
  <c r="Y140" i="6" s="1"/>
  <c r="AA140" i="6"/>
  <c r="AD140" i="6"/>
  <c r="AM140" i="6" s="1"/>
  <c r="AG140" i="6"/>
  <c r="AJ140" i="6"/>
  <c r="X141" i="6"/>
  <c r="Y141" i="6"/>
  <c r="Z141" i="6"/>
  <c r="AA141" i="6"/>
  <c r="AB141" i="6"/>
  <c r="AC141" i="6"/>
  <c r="AD141" i="6"/>
  <c r="AM141" i="6" s="1"/>
  <c r="AE141" i="6"/>
  <c r="AF141" i="6" s="1"/>
  <c r="AG141" i="6"/>
  <c r="AJ141" i="6"/>
  <c r="X142" i="6"/>
  <c r="Y142" i="6"/>
  <c r="AB142" i="6" s="1"/>
  <c r="Z142" i="6"/>
  <c r="AA142" i="6"/>
  <c r="AM142" i="6" s="1"/>
  <c r="AD142" i="6"/>
  <c r="AG142" i="6"/>
  <c r="AJ142" i="6"/>
  <c r="X143" i="6"/>
  <c r="Y143" i="6" s="1"/>
  <c r="AA143" i="6"/>
  <c r="AD143" i="6"/>
  <c r="AM143" i="6" s="1"/>
  <c r="AG143" i="6"/>
  <c r="AJ143" i="6"/>
  <c r="X144" i="6"/>
  <c r="Y144" i="6"/>
  <c r="Z144" i="6"/>
  <c r="AA144" i="6"/>
  <c r="AM144" i="6" s="1"/>
  <c r="AB144" i="6"/>
  <c r="AC144" i="6"/>
  <c r="AD144" i="6"/>
  <c r="AE144" i="6"/>
  <c r="AF144" i="6" s="1"/>
  <c r="AG144" i="6"/>
  <c r="AJ144" i="6"/>
  <c r="X145" i="6"/>
  <c r="Y145" i="6"/>
  <c r="AB145" i="6" s="1"/>
  <c r="Z145" i="6"/>
  <c r="AA145" i="6"/>
  <c r="AM145" i="6" s="1"/>
  <c r="AD145" i="6"/>
  <c r="AG145" i="6"/>
  <c r="AJ145" i="6"/>
  <c r="X118" i="6"/>
  <c r="Y118" i="6" s="1"/>
  <c r="AA118" i="6"/>
  <c r="AD118" i="6"/>
  <c r="AG118" i="6"/>
  <c r="AJ118" i="6"/>
  <c r="X119" i="6"/>
  <c r="Y119" i="6" s="1"/>
  <c r="AA119" i="6"/>
  <c r="AM119" i="6" s="1"/>
  <c r="AD119" i="6"/>
  <c r="AG119" i="6"/>
  <c r="AJ119" i="6"/>
  <c r="X120" i="6"/>
  <c r="Y120" i="6"/>
  <c r="Z120" i="6"/>
  <c r="AA120" i="6"/>
  <c r="AM120" i="6" s="1"/>
  <c r="AB120" i="6"/>
  <c r="AC120" i="6" s="1"/>
  <c r="AD120" i="6"/>
  <c r="AG120" i="6"/>
  <c r="AJ120" i="6"/>
  <c r="AA121" i="6"/>
  <c r="AD121" i="6"/>
  <c r="AG121" i="6"/>
  <c r="AJ121" i="6"/>
  <c r="X122" i="6"/>
  <c r="Y122" i="6" s="1"/>
  <c r="AA122" i="6"/>
  <c r="AM122" i="6" s="1"/>
  <c r="AD122" i="6"/>
  <c r="AG122" i="6"/>
  <c r="AJ122" i="6"/>
  <c r="AM95" i="6"/>
  <c r="AM96" i="6"/>
  <c r="AM97" i="6"/>
  <c r="AJ95" i="6"/>
  <c r="AK95" i="6"/>
  <c r="AJ96" i="6"/>
  <c r="AK96" i="6" s="1"/>
  <c r="AJ97" i="6"/>
  <c r="AK97" i="6" s="1"/>
  <c r="AJ98" i="6"/>
  <c r="AJ99" i="6"/>
  <c r="AG95" i="6"/>
  <c r="AH95" i="6"/>
  <c r="AG96" i="6"/>
  <c r="AH96" i="6"/>
  <c r="AG97" i="6"/>
  <c r="AH97" i="6" s="1"/>
  <c r="AG98" i="6"/>
  <c r="AG99" i="6"/>
  <c r="AD95" i="6"/>
  <c r="AE95" i="6"/>
  <c r="AD96" i="6"/>
  <c r="AE96" i="6"/>
  <c r="AD97" i="6"/>
  <c r="AE97" i="6" s="1"/>
  <c r="AD98" i="6"/>
  <c r="AD99" i="6"/>
  <c r="AA95" i="6"/>
  <c r="AB95" i="6"/>
  <c r="AA96" i="6"/>
  <c r="AB96" i="6"/>
  <c r="AA97" i="6"/>
  <c r="AB97" i="6" s="1"/>
  <c r="AA98" i="6"/>
  <c r="AA99" i="6"/>
  <c r="X95" i="6"/>
  <c r="Y95" i="6" s="1"/>
  <c r="X96" i="6"/>
  <c r="Y96" i="6" s="1"/>
  <c r="X97" i="6"/>
  <c r="Y97" i="6" s="1"/>
  <c r="X98" i="6"/>
  <c r="Y98" i="6" s="1"/>
  <c r="X99" i="6"/>
  <c r="Y99" i="6" s="1"/>
  <c r="AB99" i="6" s="1"/>
  <c r="AE99" i="6" s="1"/>
  <c r="AM71" i="6"/>
  <c r="AM72" i="6"/>
  <c r="AM73" i="6"/>
  <c r="AJ71" i="6"/>
  <c r="AK71" i="6"/>
  <c r="AJ72" i="6"/>
  <c r="AK72" i="6" s="1"/>
  <c r="AJ73" i="6"/>
  <c r="AK73" i="6" s="1"/>
  <c r="AJ75" i="6"/>
  <c r="AG71" i="6"/>
  <c r="AH71" i="6"/>
  <c r="AG72" i="6"/>
  <c r="AH72" i="6" s="1"/>
  <c r="AG73" i="6"/>
  <c r="AH73" i="6" s="1"/>
  <c r="AD71" i="6"/>
  <c r="AE71" i="6"/>
  <c r="AD72" i="6"/>
  <c r="AE72" i="6"/>
  <c r="AD73" i="6"/>
  <c r="AE73" i="6" s="1"/>
  <c r="AA71" i="6"/>
  <c r="AB71" i="6"/>
  <c r="AA72" i="6"/>
  <c r="AB72" i="6"/>
  <c r="AA73" i="6"/>
  <c r="AB73" i="6" s="1"/>
  <c r="X71" i="6"/>
  <c r="Y71" i="6"/>
  <c r="X72" i="6"/>
  <c r="Y72" i="6"/>
  <c r="X73" i="6"/>
  <c r="Y73" i="6"/>
  <c r="AM47" i="6"/>
  <c r="AM48" i="6"/>
  <c r="AM49" i="6"/>
  <c r="AJ47" i="6"/>
  <c r="AK47" i="6"/>
  <c r="AJ48" i="6"/>
  <c r="AK48" i="6"/>
  <c r="AJ49" i="6"/>
  <c r="AK49" i="6" s="1"/>
  <c r="AJ50" i="6"/>
  <c r="AJ74" i="6" s="1"/>
  <c r="AJ51" i="6"/>
  <c r="AG47" i="6"/>
  <c r="AH47" i="6" s="1"/>
  <c r="AG48" i="6"/>
  <c r="AH48" i="6" s="1"/>
  <c r="AG49" i="6"/>
  <c r="AH49" i="6" s="1"/>
  <c r="AG50" i="6"/>
  <c r="AG74" i="6" s="1"/>
  <c r="AG51" i="6"/>
  <c r="AG75" i="6" s="1"/>
  <c r="X50" i="6"/>
  <c r="X74" i="6" s="1"/>
  <c r="Y50" i="6"/>
  <c r="X51" i="6"/>
  <c r="D442" i="22" l="1"/>
  <c r="D443" i="22" s="1"/>
  <c r="X77" i="7"/>
  <c r="W28" i="7"/>
  <c r="AC75" i="7"/>
  <c r="AC26" i="7" s="1"/>
  <c r="X26" i="7"/>
  <c r="E128" i="18" s="1"/>
  <c r="Z75" i="7"/>
  <c r="X76" i="7"/>
  <c r="Z76" i="7" s="1"/>
  <c r="Z27" i="7" s="1"/>
  <c r="X74" i="7"/>
  <c r="X25" i="7" s="1"/>
  <c r="E127" i="18" s="1"/>
  <c r="R28" i="7"/>
  <c r="D130" i="18" s="1"/>
  <c r="W73" i="7"/>
  <c r="W24" i="7" s="1"/>
  <c r="X73" i="7"/>
  <c r="X24" i="7" s="1"/>
  <c r="E126" i="18" s="1"/>
  <c r="J115" i="5"/>
  <c r="K467" i="22"/>
  <c r="K468" i="22" s="1"/>
  <c r="K436" i="22"/>
  <c r="L436" i="22" s="1"/>
  <c r="L437" i="22" s="1"/>
  <c r="D486" i="22"/>
  <c r="D476" i="22"/>
  <c r="D485" i="22" s="1"/>
  <c r="D487" i="22" s="1"/>
  <c r="F468" i="22"/>
  <c r="G468" i="22"/>
  <c r="G437" i="22"/>
  <c r="D437" i="22"/>
  <c r="E437" i="22"/>
  <c r="H437" i="22"/>
  <c r="D423" i="22"/>
  <c r="D425" i="22" s="1"/>
  <c r="D415" i="22"/>
  <c r="L405" i="22"/>
  <c r="E406" i="22"/>
  <c r="F406" i="22"/>
  <c r="G406" i="22"/>
  <c r="H406" i="22"/>
  <c r="D381" i="22"/>
  <c r="K374" i="22"/>
  <c r="D383" i="22"/>
  <c r="D384" i="22" s="1"/>
  <c r="E375" i="22"/>
  <c r="F375" i="22"/>
  <c r="G375" i="22"/>
  <c r="H375" i="22"/>
  <c r="G362" i="22"/>
  <c r="E362" i="22"/>
  <c r="D25" i="18"/>
  <c r="G24" i="27"/>
  <c r="G24" i="18" s="1"/>
  <c r="K343" i="22"/>
  <c r="J344" i="22"/>
  <c r="D344" i="22"/>
  <c r="D352" i="22" s="1"/>
  <c r="F344" i="22"/>
  <c r="H344" i="22"/>
  <c r="I344" i="22"/>
  <c r="AN26" i="9"/>
  <c r="AR26" i="9" s="1"/>
  <c r="AF27" i="9"/>
  <c r="AJ27" i="9" s="1"/>
  <c r="AN27" i="9" s="1"/>
  <c r="AR27" i="9" s="1"/>
  <c r="AG27" i="5"/>
  <c r="AL25" i="5"/>
  <c r="AX24" i="5"/>
  <c r="AX27" i="5"/>
  <c r="AX23" i="5"/>
  <c r="AE24" i="6"/>
  <c r="AC24" i="6"/>
  <c r="AC27" i="6"/>
  <c r="AE27" i="6"/>
  <c r="F22" i="18"/>
  <c r="AB26" i="6"/>
  <c r="AB23" i="6"/>
  <c r="AM27" i="6"/>
  <c r="AB25" i="6"/>
  <c r="D24" i="27"/>
  <c r="D24" i="18" s="1"/>
  <c r="H23" i="27"/>
  <c r="H22" i="27"/>
  <c r="H24" i="27"/>
  <c r="H24" i="18" s="1"/>
  <c r="H21" i="27"/>
  <c r="E25" i="27"/>
  <c r="E25" i="18" s="1"/>
  <c r="H25" i="27"/>
  <c r="H25" i="18" s="1"/>
  <c r="G22" i="27"/>
  <c r="F25" i="27"/>
  <c r="F25" i="18" s="1"/>
  <c r="F22" i="27"/>
  <c r="F24" i="27"/>
  <c r="F24" i="18" s="1"/>
  <c r="E22" i="27"/>
  <c r="E24" i="27"/>
  <c r="E24" i="18" s="1"/>
  <c r="E21" i="27"/>
  <c r="I67" i="27"/>
  <c r="I66" i="27"/>
  <c r="D23" i="27"/>
  <c r="I23" i="27" s="1"/>
  <c r="AC173" i="7"/>
  <c r="AD173" i="7" s="1"/>
  <c r="Z173" i="7"/>
  <c r="AA173" i="7" s="1"/>
  <c r="X171" i="7"/>
  <c r="U171" i="7"/>
  <c r="W171" i="7"/>
  <c r="Z169" i="7"/>
  <c r="AC169" i="7"/>
  <c r="AD169" i="7" s="1"/>
  <c r="AD172" i="7"/>
  <c r="Z172" i="7"/>
  <c r="U173" i="7"/>
  <c r="W170" i="7"/>
  <c r="X170" i="7" s="1"/>
  <c r="U170" i="7"/>
  <c r="U144" i="7"/>
  <c r="W144" i="7"/>
  <c r="X144" i="7" s="1"/>
  <c r="U146" i="7"/>
  <c r="W146" i="7"/>
  <c r="X146" i="7" s="1"/>
  <c r="U148" i="7"/>
  <c r="W148" i="7"/>
  <c r="X148" i="7" s="1"/>
  <c r="Z149" i="7"/>
  <c r="AA149" i="7" s="1"/>
  <c r="AC149" i="7"/>
  <c r="AD149" i="7" s="1"/>
  <c r="U147" i="7"/>
  <c r="W147" i="7"/>
  <c r="X147" i="7" s="1"/>
  <c r="U149" i="7"/>
  <c r="W145" i="7"/>
  <c r="X145" i="7" s="1"/>
  <c r="U145" i="7"/>
  <c r="U123" i="7"/>
  <c r="W123" i="7"/>
  <c r="U124" i="7"/>
  <c r="W124" i="7"/>
  <c r="X124" i="7" s="1"/>
  <c r="X121" i="7"/>
  <c r="AC125" i="7"/>
  <c r="AD125" i="7" s="1"/>
  <c r="Z125" i="7"/>
  <c r="AA125" i="7" s="1"/>
  <c r="X123" i="7"/>
  <c r="U121" i="7"/>
  <c r="W121" i="7"/>
  <c r="U125" i="7"/>
  <c r="W122" i="7"/>
  <c r="X122" i="7" s="1"/>
  <c r="U122" i="7"/>
  <c r="U100" i="7"/>
  <c r="AJ99" i="7"/>
  <c r="AF99" i="7"/>
  <c r="AI99" i="7"/>
  <c r="U98" i="7"/>
  <c r="X97" i="7"/>
  <c r="AC101" i="7"/>
  <c r="AD101" i="7" s="1"/>
  <c r="Z101" i="7"/>
  <c r="AA101" i="7" s="1"/>
  <c r="AD100" i="7"/>
  <c r="Z100" i="7"/>
  <c r="AA100" i="7" s="1"/>
  <c r="U101" i="7"/>
  <c r="W98" i="7"/>
  <c r="X98" i="7" s="1"/>
  <c r="Z74" i="7"/>
  <c r="Z25" i="7" s="1"/>
  <c r="AC74" i="7"/>
  <c r="Z73" i="7"/>
  <c r="Z24" i="7" s="1"/>
  <c r="AA24" i="7" s="1"/>
  <c r="U51" i="7"/>
  <c r="U50" i="7"/>
  <c r="U52" i="7"/>
  <c r="AC53" i="7"/>
  <c r="AD53" i="7" s="1"/>
  <c r="Z53" i="7"/>
  <c r="AA53" i="7" s="1"/>
  <c r="Z49" i="7"/>
  <c r="AA49" i="7" s="1"/>
  <c r="AC49" i="7"/>
  <c r="AD49" i="7" s="1"/>
  <c r="AC52" i="7"/>
  <c r="AD52" i="7" s="1"/>
  <c r="W50" i="7"/>
  <c r="X50" i="7" s="1"/>
  <c r="W51" i="7"/>
  <c r="X51" i="7" s="1"/>
  <c r="AS120" i="29"/>
  <c r="AR120" i="29" s="1"/>
  <c r="AS119" i="29"/>
  <c r="AR119" i="29" s="1"/>
  <c r="X119" i="5"/>
  <c r="AA119" i="5" s="1"/>
  <c r="Y119" i="29"/>
  <c r="X119" i="29" s="1"/>
  <c r="AI119" i="29"/>
  <c r="AH119" i="29" s="1"/>
  <c r="AH119" i="5"/>
  <c r="AF120" i="5"/>
  <c r="X121" i="6"/>
  <c r="Y121" i="6" s="1"/>
  <c r="Z121" i="6" s="1"/>
  <c r="AM120" i="5"/>
  <c r="AI120" i="29"/>
  <c r="AH120" i="29" s="1"/>
  <c r="AD120" i="29"/>
  <c r="AC120" i="29" s="1"/>
  <c r="AD119" i="29"/>
  <c r="AC119" i="29" s="1"/>
  <c r="X120" i="29"/>
  <c r="X27" i="29" s="1"/>
  <c r="AN119" i="29"/>
  <c r="AM119" i="29" s="1"/>
  <c r="X97" i="29"/>
  <c r="Z96" i="29"/>
  <c r="Z26" i="29" s="1"/>
  <c r="X96" i="29"/>
  <c r="AK99" i="6"/>
  <c r="AR97" i="5"/>
  <c r="AS96" i="29"/>
  <c r="AR96" i="29" s="1"/>
  <c r="AB98" i="6"/>
  <c r="AE98" i="6" s="1"/>
  <c r="AH98" i="6" s="1"/>
  <c r="AK98" i="6" s="1"/>
  <c r="AN97" i="29"/>
  <c r="AM97" i="29" s="1"/>
  <c r="AM27" i="29" s="1"/>
  <c r="AN96" i="29"/>
  <c r="AM96" i="29" s="1"/>
  <c r="AC97" i="5"/>
  <c r="AW97" i="5" s="1"/>
  <c r="AH99" i="6"/>
  <c r="AM99" i="6"/>
  <c r="AI97" i="29"/>
  <c r="AH97" i="29" s="1"/>
  <c r="AM98" i="6"/>
  <c r="X26" i="29"/>
  <c r="AD96" i="29"/>
  <c r="AC96" i="29" s="1"/>
  <c r="AW96" i="29" s="1"/>
  <c r="AS51" i="29"/>
  <c r="AS74" i="5"/>
  <c r="AR74" i="5" s="1"/>
  <c r="AW74" i="5" s="1"/>
  <c r="AS73" i="5"/>
  <c r="AR73" i="5" s="1"/>
  <c r="AS50" i="29"/>
  <c r="Y74" i="6"/>
  <c r="AF50" i="5"/>
  <c r="AB50" i="5"/>
  <c r="AD73" i="5"/>
  <c r="AC73" i="5" s="1"/>
  <c r="X75" i="6"/>
  <c r="Y51" i="6"/>
  <c r="Y73" i="5"/>
  <c r="X73" i="5" s="1"/>
  <c r="AW73" i="5" s="1"/>
  <c r="AN27" i="29"/>
  <c r="Z27" i="29"/>
  <c r="AH51" i="5"/>
  <c r="AN74" i="5"/>
  <c r="AM74" i="5" s="1"/>
  <c r="AI50" i="29"/>
  <c r="Z74" i="29"/>
  <c r="X74" i="29" s="1"/>
  <c r="Y73" i="29"/>
  <c r="X73" i="29" s="1"/>
  <c r="AA73" i="29" s="1"/>
  <c r="AI51" i="29"/>
  <c r="AD50" i="29"/>
  <c r="AD51" i="29"/>
  <c r="AI73" i="5"/>
  <c r="AH73" i="5" s="1"/>
  <c r="AQ23" i="29"/>
  <c r="AW163" i="29"/>
  <c r="AK163" i="29"/>
  <c r="AA166" i="29"/>
  <c r="AW166" i="29"/>
  <c r="AW165" i="29"/>
  <c r="AA165" i="29"/>
  <c r="AW164" i="29"/>
  <c r="AA164" i="29"/>
  <c r="AW162" i="29"/>
  <c r="AA162" i="29"/>
  <c r="AW140" i="29"/>
  <c r="AA140" i="29"/>
  <c r="AA143" i="29"/>
  <c r="AW143" i="29"/>
  <c r="AW142" i="29"/>
  <c r="AA142" i="29"/>
  <c r="AW139" i="29"/>
  <c r="AA139" i="29"/>
  <c r="AA141" i="29"/>
  <c r="AW118" i="29"/>
  <c r="AW116" i="29"/>
  <c r="AA116" i="29"/>
  <c r="AA119" i="29"/>
  <c r="AA118" i="29"/>
  <c r="AA117" i="29"/>
  <c r="AA96" i="29"/>
  <c r="AA95" i="29"/>
  <c r="AW95" i="29"/>
  <c r="AW97" i="29"/>
  <c r="AA97" i="29"/>
  <c r="AW93" i="29"/>
  <c r="AA93" i="29"/>
  <c r="AA94" i="29"/>
  <c r="AW72" i="29"/>
  <c r="AA72" i="29"/>
  <c r="AW71" i="29"/>
  <c r="AA71" i="29"/>
  <c r="AW70" i="29"/>
  <c r="AA70" i="29"/>
  <c r="AW48" i="29"/>
  <c r="AA48" i="29"/>
  <c r="AW47" i="29"/>
  <c r="AA47" i="29"/>
  <c r="AA49" i="29"/>
  <c r="AW49" i="29"/>
  <c r="AA51" i="29"/>
  <c r="AA50" i="29"/>
  <c r="AW72" i="5"/>
  <c r="AA72" i="5"/>
  <c r="AW70" i="5"/>
  <c r="AA70" i="5"/>
  <c r="AA71" i="5"/>
  <c r="AF74" i="5"/>
  <c r="AK50" i="5"/>
  <c r="AG50" i="5"/>
  <c r="AF48" i="5"/>
  <c r="AW51" i="5"/>
  <c r="AA51" i="5"/>
  <c r="AW48" i="5"/>
  <c r="AW49" i="5"/>
  <c r="AA49" i="5"/>
  <c r="AW50" i="5"/>
  <c r="AA47" i="5"/>
  <c r="AW47" i="5"/>
  <c r="AA164" i="5"/>
  <c r="AW164" i="5"/>
  <c r="AW166" i="5"/>
  <c r="AA166" i="5"/>
  <c r="AA163" i="5"/>
  <c r="AW163" i="5"/>
  <c r="AA165" i="5"/>
  <c r="AW165" i="5"/>
  <c r="AA162" i="5"/>
  <c r="AW162" i="5"/>
  <c r="AW142" i="5"/>
  <c r="AB142" i="5"/>
  <c r="AF142" i="5"/>
  <c r="AA139" i="5"/>
  <c r="AW139" i="5"/>
  <c r="AW140" i="5"/>
  <c r="AA143" i="5"/>
  <c r="AW143" i="5"/>
  <c r="AW141" i="5"/>
  <c r="AA141" i="5"/>
  <c r="AF140" i="5"/>
  <c r="AF118" i="5"/>
  <c r="AW117" i="5"/>
  <c r="AA117" i="5"/>
  <c r="AG120" i="5"/>
  <c r="AK120" i="5"/>
  <c r="AW118" i="5"/>
  <c r="AA116" i="5"/>
  <c r="AW116" i="5"/>
  <c r="AB118" i="5"/>
  <c r="AW120" i="5"/>
  <c r="AA96" i="5"/>
  <c r="AW96" i="5"/>
  <c r="AA93" i="5"/>
  <c r="AW93" i="5"/>
  <c r="AA97" i="5"/>
  <c r="AW95" i="5"/>
  <c r="AF95" i="5"/>
  <c r="AB95" i="5"/>
  <c r="AF94" i="5"/>
  <c r="Z143" i="6"/>
  <c r="AB143" i="6"/>
  <c r="AC142" i="6"/>
  <c r="AE142" i="6"/>
  <c r="AC145" i="6"/>
  <c r="AE145" i="6"/>
  <c r="Z140" i="6"/>
  <c r="AB140" i="6"/>
  <c r="AH144" i="6"/>
  <c r="AH141" i="6"/>
  <c r="Z122" i="6"/>
  <c r="AB122" i="6"/>
  <c r="Z119" i="6"/>
  <c r="AB119" i="6"/>
  <c r="AB121" i="6"/>
  <c r="Z118" i="6"/>
  <c r="AB118" i="6"/>
  <c r="AE120" i="6"/>
  <c r="AM118" i="6"/>
  <c r="AD47" i="6"/>
  <c r="AE47" i="6"/>
  <c r="AD48" i="6"/>
  <c r="AE48" i="6"/>
  <c r="AD49" i="6"/>
  <c r="AE49" i="6"/>
  <c r="AD50" i="6"/>
  <c r="AD74" i="6" s="1"/>
  <c r="AD51" i="6"/>
  <c r="AD75" i="6" s="1"/>
  <c r="AA47" i="6"/>
  <c r="AB47" i="6"/>
  <c r="AA48" i="6"/>
  <c r="AB48" i="6"/>
  <c r="AA49" i="6"/>
  <c r="AB49" i="6"/>
  <c r="AA50" i="6"/>
  <c r="AB50" i="6" s="1"/>
  <c r="AE50" i="6" s="1"/>
  <c r="AH50" i="6" s="1"/>
  <c r="AK50" i="6" s="1"/>
  <c r="AA51" i="6"/>
  <c r="AA75" i="6" s="1"/>
  <c r="AB51" i="6"/>
  <c r="AE51" i="6" s="1"/>
  <c r="AH51" i="6" s="1"/>
  <c r="AK51" i="6" s="1"/>
  <c r="AM93" i="4"/>
  <c r="AM94" i="4"/>
  <c r="AM95" i="4"/>
  <c r="AJ93" i="4"/>
  <c r="AK93" i="4"/>
  <c r="AJ94" i="4"/>
  <c r="AK94" i="4"/>
  <c r="AJ95" i="4"/>
  <c r="AK95" i="4"/>
  <c r="AJ96" i="4"/>
  <c r="AJ97" i="4"/>
  <c r="AG93" i="4"/>
  <c r="AH93" i="4" s="1"/>
  <c r="AG94" i="4"/>
  <c r="AH94" i="4" s="1"/>
  <c r="AG95" i="4"/>
  <c r="AH95" i="4"/>
  <c r="AG96" i="4"/>
  <c r="AG97" i="4"/>
  <c r="AD93" i="4"/>
  <c r="AE93" i="4"/>
  <c r="AD94" i="4"/>
  <c r="AE94" i="4"/>
  <c r="AD95" i="4"/>
  <c r="AE95" i="4"/>
  <c r="AD96" i="4"/>
  <c r="AD97" i="4"/>
  <c r="X47" i="6"/>
  <c r="Y47" i="6" s="1"/>
  <c r="X48" i="6"/>
  <c r="Y48" i="6" s="1"/>
  <c r="X49" i="6"/>
  <c r="Y49" i="6" s="1"/>
  <c r="Y93" i="4"/>
  <c r="AB93" i="4" s="1"/>
  <c r="Y94" i="4"/>
  <c r="AB94" i="4" s="1"/>
  <c r="Y95" i="4"/>
  <c r="AB95" i="4" s="1"/>
  <c r="AM70" i="4"/>
  <c r="AM71" i="4"/>
  <c r="AM72" i="4"/>
  <c r="AJ70" i="4"/>
  <c r="AK70" i="4"/>
  <c r="AJ71" i="4"/>
  <c r="AK71" i="4"/>
  <c r="AJ72" i="4"/>
  <c r="AK72" i="4" s="1"/>
  <c r="AJ73" i="4"/>
  <c r="AJ74" i="4"/>
  <c r="AD74" i="4"/>
  <c r="AG70" i="4"/>
  <c r="AH70" i="4"/>
  <c r="AG71" i="4"/>
  <c r="AH71" i="4" s="1"/>
  <c r="AG72" i="4"/>
  <c r="AH72" i="4" s="1"/>
  <c r="AG73" i="4"/>
  <c r="AG74" i="4"/>
  <c r="AE70" i="4"/>
  <c r="AE71" i="4"/>
  <c r="AE72" i="4"/>
  <c r="AB70" i="4"/>
  <c r="AB71" i="4"/>
  <c r="AB72" i="4"/>
  <c r="Y70" i="4"/>
  <c r="Y71" i="4"/>
  <c r="Y72" i="4"/>
  <c r="AD70" i="4"/>
  <c r="AD71" i="4"/>
  <c r="AD72" i="4"/>
  <c r="AD73" i="4"/>
  <c r="AA70" i="4"/>
  <c r="AA71" i="4"/>
  <c r="AA72" i="4"/>
  <c r="AA73" i="4"/>
  <c r="AA74" i="4"/>
  <c r="AA93" i="4"/>
  <c r="AA94" i="4"/>
  <c r="AA95" i="4"/>
  <c r="AA96" i="4"/>
  <c r="AA97" i="4"/>
  <c r="X93" i="4"/>
  <c r="X94" i="4"/>
  <c r="X95" i="4"/>
  <c r="X96" i="4"/>
  <c r="Y96" i="4" s="1"/>
  <c r="AB96" i="4" s="1"/>
  <c r="AE96" i="4" s="1"/>
  <c r="X97" i="4"/>
  <c r="Y97" i="4" s="1"/>
  <c r="X98" i="4"/>
  <c r="X70" i="4"/>
  <c r="X71" i="4"/>
  <c r="X72" i="4"/>
  <c r="X73" i="4"/>
  <c r="Y73" i="4" s="1"/>
  <c r="X74" i="4"/>
  <c r="Y74" i="4" s="1"/>
  <c r="AB74" i="4" s="1"/>
  <c r="X75" i="4"/>
  <c r="F105" i="26"/>
  <c r="E105" i="26"/>
  <c r="H45" i="26"/>
  <c r="AM50" i="4"/>
  <c r="Y50" i="4"/>
  <c r="AB50" i="4" s="1"/>
  <c r="AE50" i="4" s="1"/>
  <c r="AH50" i="4" s="1"/>
  <c r="AK50" i="4" s="1"/>
  <c r="H46" i="26"/>
  <c r="D445" i="22" l="1"/>
  <c r="AA27" i="7"/>
  <c r="E441" i="22"/>
  <c r="E442" i="22" s="1"/>
  <c r="E443" i="22" s="1"/>
  <c r="AD75" i="7"/>
  <c r="AD26" i="7" s="1"/>
  <c r="F128" i="18" s="1"/>
  <c r="AC73" i="7"/>
  <c r="E348" i="22"/>
  <c r="E349" i="22" s="1"/>
  <c r="E350" i="22" s="1"/>
  <c r="E352" i="22" s="1"/>
  <c r="E361" i="22" s="1"/>
  <c r="AC76" i="7"/>
  <c r="X27" i="7"/>
  <c r="E129" i="18" s="1"/>
  <c r="AD74" i="7"/>
  <c r="AD25" i="7" s="1"/>
  <c r="F127" i="18" s="1"/>
  <c r="AC25" i="7"/>
  <c r="E379" i="22"/>
  <c r="E380" i="22" s="1"/>
  <c r="E381" i="22" s="1"/>
  <c r="AA25" i="7"/>
  <c r="AA75" i="7"/>
  <c r="Z26" i="7"/>
  <c r="Z77" i="7"/>
  <c r="X28" i="7"/>
  <c r="E130" i="18" s="1"/>
  <c r="AC77" i="7"/>
  <c r="K115" i="5"/>
  <c r="M115" i="5"/>
  <c r="N115" i="5" s="1"/>
  <c r="L467" i="22"/>
  <c r="M467" i="22" s="1"/>
  <c r="K437" i="22"/>
  <c r="M436" i="22"/>
  <c r="M437" i="22" s="1"/>
  <c r="D477" i="22"/>
  <c r="E445" i="22"/>
  <c r="E454" i="22" s="1"/>
  <c r="L468" i="22"/>
  <c r="D454" i="22"/>
  <c r="D456" i="22" s="1"/>
  <c r="D446" i="22"/>
  <c r="M405" i="22"/>
  <c r="L406" i="22"/>
  <c r="E383" i="22"/>
  <c r="E392" i="22" s="1"/>
  <c r="L374" i="22"/>
  <c r="K375" i="22"/>
  <c r="D392" i="22"/>
  <c r="D394" i="22" s="1"/>
  <c r="D361" i="22"/>
  <c r="D363" i="22" s="1"/>
  <c r="D353" i="22"/>
  <c r="K344" i="22"/>
  <c r="L343" i="22"/>
  <c r="AF27" i="6"/>
  <c r="AH27" i="6"/>
  <c r="AC25" i="6"/>
  <c r="AE25" i="6"/>
  <c r="AC23" i="6"/>
  <c r="AE23" i="6"/>
  <c r="AE26" i="6"/>
  <c r="AC26" i="6"/>
  <c r="AF24" i="6"/>
  <c r="AH24" i="6"/>
  <c r="I24" i="27"/>
  <c r="I25" i="27"/>
  <c r="I21" i="27"/>
  <c r="I22" i="27"/>
  <c r="Z170" i="7"/>
  <c r="AC170" i="7"/>
  <c r="AD170" i="7" s="1"/>
  <c r="AC171" i="7"/>
  <c r="AD171" i="7" s="1"/>
  <c r="Z171" i="7"/>
  <c r="AA172" i="7"/>
  <c r="AF172" i="7"/>
  <c r="AG172" i="7" s="1"/>
  <c r="AI172" i="7"/>
  <c r="AJ172" i="7" s="1"/>
  <c r="AI169" i="7"/>
  <c r="AJ169" i="7" s="1"/>
  <c r="AF169" i="7"/>
  <c r="AG169" i="7" s="1"/>
  <c r="AF173" i="7"/>
  <c r="AG173" i="7" s="1"/>
  <c r="AI173" i="7"/>
  <c r="AJ173" i="7" s="1"/>
  <c r="AA169" i="7"/>
  <c r="Z144" i="7"/>
  <c r="AC144" i="7"/>
  <c r="AD144" i="7" s="1"/>
  <c r="AC146" i="7"/>
  <c r="AD146" i="7" s="1"/>
  <c r="Z146" i="7"/>
  <c r="AF149" i="7"/>
  <c r="AG149" i="7" s="1"/>
  <c r="AI149" i="7"/>
  <c r="AJ149" i="7" s="1"/>
  <c r="Z145" i="7"/>
  <c r="AC145" i="7"/>
  <c r="AD145" i="7" s="1"/>
  <c r="AC148" i="7"/>
  <c r="AD148" i="7" s="1"/>
  <c r="Z148" i="7"/>
  <c r="AC147" i="7"/>
  <c r="AD147" i="7" s="1"/>
  <c r="Z147" i="7"/>
  <c r="AC124" i="7"/>
  <c r="AD124" i="7" s="1"/>
  <c r="Z124" i="7"/>
  <c r="Z122" i="7"/>
  <c r="AC122" i="7"/>
  <c r="AD122" i="7" s="1"/>
  <c r="Z121" i="7"/>
  <c r="AC121" i="7"/>
  <c r="AD121" i="7" s="1"/>
  <c r="AC123" i="7"/>
  <c r="AD123" i="7" s="1"/>
  <c r="Z123" i="7"/>
  <c r="AF125" i="7"/>
  <c r="AI125" i="7"/>
  <c r="AF101" i="7"/>
  <c r="AG101" i="7" s="1"/>
  <c r="AI101" i="7"/>
  <c r="AJ101" i="7" s="1"/>
  <c r="AG99" i="7"/>
  <c r="Z98" i="7"/>
  <c r="AC98" i="7"/>
  <c r="AD98" i="7" s="1"/>
  <c r="Z97" i="7"/>
  <c r="AC97" i="7"/>
  <c r="AD97" i="7" s="1"/>
  <c r="AL99" i="7"/>
  <c r="AM99" i="7" s="1"/>
  <c r="AO99" i="7"/>
  <c r="AP99" i="7" s="1"/>
  <c r="AR99" i="7" s="1"/>
  <c r="AF100" i="7"/>
  <c r="AI100" i="7"/>
  <c r="AJ100" i="7" s="1"/>
  <c r="AA73" i="7"/>
  <c r="AA76" i="7"/>
  <c r="AF75" i="7"/>
  <c r="AF26" i="7" s="1"/>
  <c r="AI75" i="7"/>
  <c r="AF74" i="7"/>
  <c r="AI74" i="7"/>
  <c r="AA74" i="7"/>
  <c r="AI49" i="7"/>
  <c r="AJ49" i="7" s="1"/>
  <c r="AF49" i="7"/>
  <c r="AG49" i="7" s="1"/>
  <c r="AF53" i="7"/>
  <c r="AG53" i="7" s="1"/>
  <c r="AI53" i="7"/>
  <c r="AJ53" i="7" s="1"/>
  <c r="Z51" i="7"/>
  <c r="AC51" i="7"/>
  <c r="AD51" i="7" s="1"/>
  <c r="Z50" i="7"/>
  <c r="AC50" i="7"/>
  <c r="AD50" i="7" s="1"/>
  <c r="AF52" i="7"/>
  <c r="AI52" i="7"/>
  <c r="AJ52" i="7" s="1"/>
  <c r="Y26" i="29"/>
  <c r="AW119" i="5"/>
  <c r="AM121" i="6"/>
  <c r="AA26" i="29"/>
  <c r="AB26" i="29" s="1"/>
  <c r="AB97" i="4"/>
  <c r="AE97" i="4" s="1"/>
  <c r="AM26" i="29"/>
  <c r="AW120" i="29"/>
  <c r="AB73" i="4"/>
  <c r="AE73" i="4" s="1"/>
  <c r="AA120" i="29"/>
  <c r="AA27" i="29" s="1"/>
  <c r="AW119" i="29"/>
  <c r="AN26" i="29"/>
  <c r="AR51" i="29"/>
  <c r="AR27" i="29" s="1"/>
  <c r="AS27" i="29"/>
  <c r="AS74" i="29"/>
  <c r="AR74" i="29" s="1"/>
  <c r="AM96" i="4"/>
  <c r="AR50" i="29"/>
  <c r="AR26" i="29" s="1"/>
  <c r="AR30" i="29" s="1"/>
  <c r="AS26" i="29"/>
  <c r="AS73" i="29"/>
  <c r="AR73" i="29" s="1"/>
  <c r="AA74" i="29"/>
  <c r="AM74" i="4"/>
  <c r="AM73" i="4"/>
  <c r="AA73" i="5"/>
  <c r="AH51" i="29"/>
  <c r="AH27" i="29" s="1"/>
  <c r="AI27" i="29"/>
  <c r="AI74" i="29"/>
  <c r="AH74" i="29" s="1"/>
  <c r="Y75" i="6"/>
  <c r="AB75" i="6" s="1"/>
  <c r="AE75" i="6" s="1"/>
  <c r="AM75" i="6"/>
  <c r="AH97" i="4"/>
  <c r="AK97" i="4" s="1"/>
  <c r="AL97" i="4" s="1"/>
  <c r="AM50" i="6"/>
  <c r="AM54" i="6" s="1"/>
  <c r="AA74" i="6"/>
  <c r="AM74" i="6" s="1"/>
  <c r="AE74" i="4"/>
  <c r="AH96" i="4"/>
  <c r="AK96" i="4" s="1"/>
  <c r="AH50" i="29"/>
  <c r="AH26" i="29" s="1"/>
  <c r="AI73" i="29"/>
  <c r="AH73" i="29" s="1"/>
  <c r="AI26" i="29"/>
  <c r="AM97" i="4"/>
  <c r="AC51" i="29"/>
  <c r="AD27" i="29"/>
  <c r="AD74" i="29"/>
  <c r="AC74" i="29" s="1"/>
  <c r="AW74" i="29" s="1"/>
  <c r="AB74" i="6"/>
  <c r="AE74" i="6" s="1"/>
  <c r="AH74" i="6" s="1"/>
  <c r="AK74" i="6" s="1"/>
  <c r="AL74" i="6" s="1"/>
  <c r="AC50" i="29"/>
  <c r="AD26" i="29"/>
  <c r="AD73" i="29"/>
  <c r="AC73" i="29" s="1"/>
  <c r="AM51" i="6"/>
  <c r="AH73" i="4"/>
  <c r="AK73" i="4" s="1"/>
  <c r="AB162" i="29"/>
  <c r="AF162" i="29"/>
  <c r="AF164" i="29"/>
  <c r="AB164" i="29"/>
  <c r="AB165" i="29"/>
  <c r="AF165" i="29"/>
  <c r="AB166" i="29"/>
  <c r="AF166" i="29"/>
  <c r="AL163" i="29"/>
  <c r="AP163" i="29"/>
  <c r="AF141" i="29"/>
  <c r="AB141" i="29"/>
  <c r="AB143" i="29"/>
  <c r="AF143" i="29"/>
  <c r="AB139" i="29"/>
  <c r="AF139" i="29"/>
  <c r="AB140" i="29"/>
  <c r="AF140" i="29"/>
  <c r="AF142" i="29"/>
  <c r="AB142" i="29"/>
  <c r="AB117" i="29"/>
  <c r="AF117" i="29"/>
  <c r="AF118" i="29"/>
  <c r="AB118" i="29"/>
  <c r="AF119" i="29"/>
  <c r="AB119" i="29"/>
  <c r="AB120" i="29"/>
  <c r="AF120" i="29"/>
  <c r="AB116" i="29"/>
  <c r="AF116" i="29"/>
  <c r="AB94" i="29"/>
  <c r="AF94" i="29"/>
  <c r="AB93" i="29"/>
  <c r="AF93" i="29"/>
  <c r="AB97" i="29"/>
  <c r="AF97" i="29"/>
  <c r="AF95" i="29"/>
  <c r="AB95" i="29"/>
  <c r="AF96" i="29"/>
  <c r="AB96" i="29"/>
  <c r="AB70" i="29"/>
  <c r="AF70" i="29"/>
  <c r="AB74" i="29"/>
  <c r="AB71" i="29"/>
  <c r="AF71" i="29"/>
  <c r="AF73" i="29"/>
  <c r="AB73" i="29"/>
  <c r="AF72" i="29"/>
  <c r="AB72" i="29"/>
  <c r="AF50" i="29"/>
  <c r="AB50" i="29"/>
  <c r="AB51" i="29"/>
  <c r="AF51" i="29"/>
  <c r="AF49" i="29"/>
  <c r="AB49" i="29"/>
  <c r="AB47" i="29"/>
  <c r="AF47" i="29"/>
  <c r="AB48" i="29"/>
  <c r="AF48" i="29"/>
  <c r="AG74" i="5"/>
  <c r="AK74" i="5"/>
  <c r="AB71" i="5"/>
  <c r="AF71" i="5"/>
  <c r="AF72" i="5"/>
  <c r="AB72" i="5"/>
  <c r="AB70" i="5"/>
  <c r="AF70" i="5"/>
  <c r="AF73" i="5"/>
  <c r="AB73" i="5"/>
  <c r="AL50" i="5"/>
  <c r="AP50" i="5"/>
  <c r="AG48" i="5"/>
  <c r="AK48" i="5"/>
  <c r="AF49" i="5"/>
  <c r="AB49" i="5"/>
  <c r="AB47" i="5"/>
  <c r="AF47" i="5"/>
  <c r="AB51" i="5"/>
  <c r="AF51" i="5"/>
  <c r="AB164" i="5"/>
  <c r="AF164" i="5"/>
  <c r="AB162" i="5"/>
  <c r="AF162" i="5"/>
  <c r="AF163" i="5"/>
  <c r="AB163" i="5"/>
  <c r="AF165" i="5"/>
  <c r="AB165" i="5"/>
  <c r="AB166" i="5"/>
  <c r="AF166" i="5"/>
  <c r="AK142" i="5"/>
  <c r="AG142" i="5"/>
  <c r="AG140" i="5"/>
  <c r="AK140" i="5"/>
  <c r="AF141" i="5"/>
  <c r="AB141" i="5"/>
  <c r="AB139" i="5"/>
  <c r="AF139" i="5"/>
  <c r="AB143" i="5"/>
  <c r="AF143" i="5"/>
  <c r="AB116" i="5"/>
  <c r="AF116" i="5"/>
  <c r="AB119" i="5"/>
  <c r="AF119" i="5"/>
  <c r="AP120" i="5"/>
  <c r="AL120" i="5"/>
  <c r="AB117" i="5"/>
  <c r="AF117" i="5"/>
  <c r="AG118" i="5"/>
  <c r="AK118" i="5"/>
  <c r="AB93" i="5"/>
  <c r="AF93" i="5"/>
  <c r="AB96" i="5"/>
  <c r="AF96" i="5"/>
  <c r="AB97" i="5"/>
  <c r="AF97" i="5"/>
  <c r="AG94" i="5"/>
  <c r="AK94" i="5"/>
  <c r="AG95" i="5"/>
  <c r="AK95" i="5"/>
  <c r="AI141" i="6"/>
  <c r="AK141" i="6"/>
  <c r="AL141" i="6" s="1"/>
  <c r="AI144" i="6"/>
  <c r="AK144" i="6"/>
  <c r="AL144" i="6" s="1"/>
  <c r="AE140" i="6"/>
  <c r="AC140" i="6"/>
  <c r="AF145" i="6"/>
  <c r="AH145" i="6"/>
  <c r="AH142" i="6"/>
  <c r="AF142" i="6"/>
  <c r="AE143" i="6"/>
  <c r="AC143" i="6"/>
  <c r="AC122" i="6"/>
  <c r="AE122" i="6"/>
  <c r="AH120" i="6"/>
  <c r="AF120" i="6"/>
  <c r="AE118" i="6"/>
  <c r="AC118" i="6"/>
  <c r="AC121" i="6"/>
  <c r="AE121" i="6"/>
  <c r="AE119" i="6"/>
  <c r="AC119" i="6"/>
  <c r="AH74" i="4"/>
  <c r="AK74" i="4" s="1"/>
  <c r="AN74" i="4" s="1"/>
  <c r="G84" i="26"/>
  <c r="F84" i="26"/>
  <c r="E84" i="26"/>
  <c r="D84" i="26"/>
  <c r="H64" i="26"/>
  <c r="G64" i="26"/>
  <c r="F64" i="26"/>
  <c r="E64" i="26"/>
  <c r="D64" i="26"/>
  <c r="E44" i="26"/>
  <c r="F44" i="26"/>
  <c r="G44" i="26"/>
  <c r="H44" i="26"/>
  <c r="D44" i="26"/>
  <c r="H24" i="26"/>
  <c r="G24" i="26"/>
  <c r="F24" i="26"/>
  <c r="E24" i="26"/>
  <c r="D24" i="26"/>
  <c r="AK49" i="4"/>
  <c r="AM49" i="4"/>
  <c r="AH49" i="4"/>
  <c r="U72" i="13" s="1"/>
  <c r="AE49" i="4"/>
  <c r="S49" i="13" s="1"/>
  <c r="AB49" i="4"/>
  <c r="Y49" i="4"/>
  <c r="AK48" i="4"/>
  <c r="W48" i="13" s="1"/>
  <c r="AM48" i="4"/>
  <c r="AH48" i="4"/>
  <c r="AE48" i="4"/>
  <c r="AB48" i="4"/>
  <c r="Y48" i="4"/>
  <c r="G83" i="26"/>
  <c r="F83" i="26"/>
  <c r="E83" i="26"/>
  <c r="D83" i="26"/>
  <c r="H63" i="26"/>
  <c r="G63" i="26"/>
  <c r="F63" i="26"/>
  <c r="E63" i="26"/>
  <c r="D63" i="26"/>
  <c r="E43" i="26"/>
  <c r="F43" i="26"/>
  <c r="G43" i="26"/>
  <c r="H43" i="26"/>
  <c r="D43" i="26"/>
  <c r="H23" i="26"/>
  <c r="G23" i="26"/>
  <c r="F23" i="26"/>
  <c r="E23" i="26"/>
  <c r="D23" i="26"/>
  <c r="Y47" i="4"/>
  <c r="AB47" i="4" s="1"/>
  <c r="AM47" i="4"/>
  <c r="G82" i="26"/>
  <c r="F82" i="26"/>
  <c r="E82" i="26"/>
  <c r="D82" i="26"/>
  <c r="H62" i="26"/>
  <c r="G62" i="26"/>
  <c r="F62" i="26"/>
  <c r="E62" i="26"/>
  <c r="D62" i="26"/>
  <c r="AM23" i="4"/>
  <c r="AM30" i="4" s="1"/>
  <c r="Y23" i="4"/>
  <c r="AB23" i="4" s="1"/>
  <c r="E42" i="26"/>
  <c r="F42" i="26"/>
  <c r="G42" i="26"/>
  <c r="H42" i="26"/>
  <c r="D42" i="26"/>
  <c r="H22" i="26"/>
  <c r="G22" i="26"/>
  <c r="F22" i="26"/>
  <c r="E22" i="26"/>
  <c r="D22" i="26"/>
  <c r="AN28" i="6"/>
  <c r="AL28" i="6"/>
  <c r="AI28" i="6"/>
  <c r="AF28" i="6"/>
  <c r="AC28" i="6"/>
  <c r="Z28" i="6"/>
  <c r="V23" i="6"/>
  <c r="V24" i="6"/>
  <c r="V25" i="6"/>
  <c r="V26" i="6"/>
  <c r="V27" i="6"/>
  <c r="V28" i="6"/>
  <c r="T23" i="6"/>
  <c r="T24" i="6"/>
  <c r="T25" i="6"/>
  <c r="T26" i="6"/>
  <c r="T27" i="6"/>
  <c r="T28" i="6"/>
  <c r="S30" i="6"/>
  <c r="R30" i="6"/>
  <c r="O30" i="6"/>
  <c r="N23" i="6"/>
  <c r="N24" i="6"/>
  <c r="N25" i="6"/>
  <c r="N26" i="6"/>
  <c r="N27" i="6"/>
  <c r="N28" i="6"/>
  <c r="M30" i="6"/>
  <c r="L30" i="6"/>
  <c r="K23" i="6"/>
  <c r="K24" i="6"/>
  <c r="K25" i="6"/>
  <c r="K26" i="6"/>
  <c r="K27" i="6"/>
  <c r="K28" i="6"/>
  <c r="J30" i="6"/>
  <c r="I30" i="6"/>
  <c r="H23" i="6"/>
  <c r="H24" i="6"/>
  <c r="H25" i="6"/>
  <c r="H26" i="6"/>
  <c r="H27" i="6"/>
  <c r="H28" i="6"/>
  <c r="G30" i="6"/>
  <c r="F30" i="6"/>
  <c r="E30" i="6"/>
  <c r="D30" i="6"/>
  <c r="D54" i="6"/>
  <c r="E54" i="6"/>
  <c r="F54" i="6"/>
  <c r="G54" i="6"/>
  <c r="H47" i="6"/>
  <c r="H48" i="6"/>
  <c r="H49" i="6"/>
  <c r="H50" i="6"/>
  <c r="H51" i="6"/>
  <c r="H52" i="6"/>
  <c r="I54" i="6"/>
  <c r="J54" i="6"/>
  <c r="K47" i="6"/>
  <c r="K48" i="6"/>
  <c r="K49" i="6"/>
  <c r="K50" i="6"/>
  <c r="K51" i="6"/>
  <c r="K52" i="6"/>
  <c r="L54" i="6"/>
  <c r="M54" i="6"/>
  <c r="N47" i="6"/>
  <c r="N48" i="6"/>
  <c r="N49" i="6"/>
  <c r="N50" i="6"/>
  <c r="N51" i="6"/>
  <c r="N52" i="6"/>
  <c r="O54" i="6"/>
  <c r="R54" i="6"/>
  <c r="S54" i="6"/>
  <c r="T47" i="6"/>
  <c r="T48" i="6"/>
  <c r="T49" i="6"/>
  <c r="T50" i="6"/>
  <c r="T51" i="6"/>
  <c r="T52" i="6"/>
  <c r="U54" i="6"/>
  <c r="V47" i="6"/>
  <c r="V48" i="6"/>
  <c r="V49" i="6"/>
  <c r="V50" i="6"/>
  <c r="V51" i="6"/>
  <c r="V52" i="6"/>
  <c r="X54" i="6"/>
  <c r="Y54" i="6"/>
  <c r="Z47" i="6"/>
  <c r="Z48" i="6"/>
  <c r="Z49" i="6"/>
  <c r="Z50" i="6"/>
  <c r="Z51" i="6"/>
  <c r="Z52" i="6"/>
  <c r="AA54" i="6"/>
  <c r="AB54" i="6"/>
  <c r="AC47" i="6"/>
  <c r="AC48" i="6"/>
  <c r="AC49" i="6"/>
  <c r="AC50" i="6"/>
  <c r="AC51" i="6"/>
  <c r="AC52" i="6"/>
  <c r="AD54" i="6"/>
  <c r="AE54" i="6"/>
  <c r="AF47" i="6"/>
  <c r="AF48" i="6"/>
  <c r="AF49" i="6"/>
  <c r="AF50" i="6"/>
  <c r="AF51" i="6"/>
  <c r="AF52" i="6"/>
  <c r="AG54" i="6"/>
  <c r="AH54" i="6"/>
  <c r="AI47" i="6"/>
  <c r="AI48" i="6"/>
  <c r="AI49" i="6"/>
  <c r="AI50" i="6"/>
  <c r="AI51" i="6"/>
  <c r="AI52" i="6"/>
  <c r="AJ54" i="6"/>
  <c r="AK54" i="6"/>
  <c r="AL47" i="6"/>
  <c r="AL48" i="6"/>
  <c r="AL49" i="6"/>
  <c r="AL50" i="6"/>
  <c r="AL51" i="6"/>
  <c r="AL52" i="6"/>
  <c r="AN47" i="6"/>
  <c r="AN48" i="6"/>
  <c r="AN49" i="6"/>
  <c r="AN50" i="6"/>
  <c r="AN51" i="6"/>
  <c r="AN52" i="6"/>
  <c r="AN71" i="6"/>
  <c r="AN72" i="6"/>
  <c r="AN73" i="6"/>
  <c r="AN76" i="6"/>
  <c r="AL71" i="6"/>
  <c r="AL72" i="6"/>
  <c r="AL73" i="6"/>
  <c r="AL76" i="6"/>
  <c r="AJ78" i="6"/>
  <c r="AI71" i="6"/>
  <c r="AI72" i="6"/>
  <c r="AI73" i="6"/>
  <c r="AI76" i="6"/>
  <c r="AG78" i="6"/>
  <c r="AF71" i="6"/>
  <c r="AF72" i="6"/>
  <c r="AF73" i="6"/>
  <c r="AF76" i="6"/>
  <c r="AD78" i="6"/>
  <c r="AC71" i="6"/>
  <c r="AC72" i="6"/>
  <c r="AC73" i="6"/>
  <c r="AC75" i="6"/>
  <c r="AC76" i="6"/>
  <c r="AA78" i="6"/>
  <c r="Z71" i="6"/>
  <c r="Z72" i="6"/>
  <c r="Z73" i="6"/>
  <c r="Z74" i="6"/>
  <c r="Z75" i="6"/>
  <c r="Z76" i="6"/>
  <c r="Y78" i="6"/>
  <c r="X78" i="6"/>
  <c r="V71" i="6"/>
  <c r="V72" i="6"/>
  <c r="V73" i="6"/>
  <c r="V74" i="6"/>
  <c r="V75" i="6"/>
  <c r="V76" i="6"/>
  <c r="U78" i="6"/>
  <c r="T71" i="6"/>
  <c r="T72" i="6"/>
  <c r="T73" i="6"/>
  <c r="T74" i="6"/>
  <c r="T75" i="6"/>
  <c r="T76" i="6"/>
  <c r="S78" i="6"/>
  <c r="R78" i="6"/>
  <c r="O78" i="6"/>
  <c r="N71" i="6"/>
  <c r="N72" i="6"/>
  <c r="N73" i="6"/>
  <c r="N74" i="6"/>
  <c r="N75" i="6"/>
  <c r="N76" i="6"/>
  <c r="M78" i="6"/>
  <c r="L78" i="6"/>
  <c r="K71" i="6"/>
  <c r="K72" i="6"/>
  <c r="K73" i="6"/>
  <c r="K74" i="6"/>
  <c r="K75" i="6"/>
  <c r="K76" i="6"/>
  <c r="J78" i="6"/>
  <c r="I78" i="6"/>
  <c r="H71" i="6"/>
  <c r="H72" i="6"/>
  <c r="H73" i="6"/>
  <c r="H74" i="6"/>
  <c r="H75" i="6"/>
  <c r="H76" i="6"/>
  <c r="G78" i="6"/>
  <c r="F78" i="6"/>
  <c r="E78" i="6"/>
  <c r="D78" i="6"/>
  <c r="D102" i="6"/>
  <c r="E102" i="6"/>
  <c r="F102" i="6"/>
  <c r="G102" i="6"/>
  <c r="H95" i="6"/>
  <c r="H96" i="6"/>
  <c r="H97" i="6"/>
  <c r="H98" i="6"/>
  <c r="H99" i="6"/>
  <c r="H100" i="6"/>
  <c r="I102" i="6"/>
  <c r="J102" i="6"/>
  <c r="K95" i="6"/>
  <c r="K96" i="6"/>
  <c r="K97" i="6"/>
  <c r="K98" i="6"/>
  <c r="K99" i="6"/>
  <c r="K100" i="6"/>
  <c r="L102" i="6"/>
  <c r="M102" i="6"/>
  <c r="N95" i="6"/>
  <c r="N96" i="6"/>
  <c r="N97" i="6"/>
  <c r="N98" i="6"/>
  <c r="N99" i="6"/>
  <c r="N100" i="6"/>
  <c r="O102" i="6"/>
  <c r="R102" i="6"/>
  <c r="S102" i="6"/>
  <c r="T95" i="6"/>
  <c r="T96" i="6"/>
  <c r="T97" i="6"/>
  <c r="T98" i="6"/>
  <c r="T99" i="6"/>
  <c r="T100" i="6"/>
  <c r="U102" i="6"/>
  <c r="V95" i="6"/>
  <c r="V96" i="6"/>
  <c r="V97" i="6"/>
  <c r="V98" i="6"/>
  <c r="V99" i="6"/>
  <c r="V100" i="6"/>
  <c r="X102" i="6"/>
  <c r="Y102" i="6"/>
  <c r="Z95" i="6"/>
  <c r="Z96" i="6"/>
  <c r="Z97" i="6"/>
  <c r="Z98" i="6"/>
  <c r="Z99" i="6"/>
  <c r="Z100" i="6"/>
  <c r="AA102" i="6"/>
  <c r="AB102" i="6"/>
  <c r="AC95" i="6"/>
  <c r="AC96" i="6"/>
  <c r="AC97" i="6"/>
  <c r="AC98" i="6"/>
  <c r="AC99" i="6"/>
  <c r="AC100" i="6"/>
  <c r="AD102" i="6"/>
  <c r="AE102" i="6"/>
  <c r="AF95" i="6"/>
  <c r="AF96" i="6"/>
  <c r="AF97" i="6"/>
  <c r="AF98" i="6"/>
  <c r="AF99" i="6"/>
  <c r="AF100" i="6"/>
  <c r="AG102" i="6"/>
  <c r="AH102" i="6"/>
  <c r="AI95" i="6"/>
  <c r="AI96" i="6"/>
  <c r="AI97" i="6"/>
  <c r="AI98" i="6"/>
  <c r="AI99" i="6"/>
  <c r="AI100" i="6"/>
  <c r="AJ102" i="6"/>
  <c r="AK102" i="6"/>
  <c r="AL95" i="6"/>
  <c r="AL96" i="6"/>
  <c r="AL97" i="6"/>
  <c r="AL98" i="6"/>
  <c r="AL99" i="6"/>
  <c r="AL100" i="6"/>
  <c r="AM102" i="6"/>
  <c r="AN95" i="6"/>
  <c r="AN96" i="6"/>
  <c r="AN97" i="6"/>
  <c r="AN98" i="6"/>
  <c r="AN99" i="6"/>
  <c r="AN100" i="6"/>
  <c r="AN123" i="6"/>
  <c r="AM125" i="6"/>
  <c r="AL123" i="6"/>
  <c r="AJ125" i="6"/>
  <c r="AI123" i="6"/>
  <c r="AG125" i="6"/>
  <c r="AF123" i="6"/>
  <c r="AD125" i="6"/>
  <c r="AC123" i="6"/>
  <c r="AB125" i="6"/>
  <c r="AA125" i="6"/>
  <c r="Z123" i="6"/>
  <c r="Y125" i="6"/>
  <c r="X125" i="6"/>
  <c r="V118" i="6"/>
  <c r="V119" i="6"/>
  <c r="V120" i="6"/>
  <c r="V121" i="6"/>
  <c r="V122" i="6"/>
  <c r="V123" i="6"/>
  <c r="U125" i="6"/>
  <c r="T118" i="6"/>
  <c r="T119" i="6"/>
  <c r="T120" i="6"/>
  <c r="T121" i="6"/>
  <c r="T122" i="6"/>
  <c r="T123" i="6"/>
  <c r="S125" i="6"/>
  <c r="R125" i="6"/>
  <c r="O125" i="6"/>
  <c r="N118" i="6"/>
  <c r="N119" i="6"/>
  <c r="N120" i="6"/>
  <c r="N121" i="6"/>
  <c r="N122" i="6"/>
  <c r="N123" i="6"/>
  <c r="M125" i="6"/>
  <c r="L125" i="6"/>
  <c r="K118" i="6"/>
  <c r="K119" i="6"/>
  <c r="K120" i="6"/>
  <c r="K121" i="6"/>
  <c r="K122" i="6"/>
  <c r="K123" i="6"/>
  <c r="J125" i="6"/>
  <c r="I125" i="6"/>
  <c r="H118" i="6"/>
  <c r="H119" i="6"/>
  <c r="H120" i="6"/>
  <c r="H121" i="6"/>
  <c r="H122" i="6"/>
  <c r="H123" i="6"/>
  <c r="G125" i="6"/>
  <c r="F125" i="6"/>
  <c r="E125" i="6"/>
  <c r="D125" i="6"/>
  <c r="D148" i="6"/>
  <c r="E148" i="6"/>
  <c r="F148" i="6"/>
  <c r="G148" i="6"/>
  <c r="H141" i="6"/>
  <c r="H142" i="6"/>
  <c r="H143" i="6"/>
  <c r="H144" i="6"/>
  <c r="H145" i="6"/>
  <c r="H146" i="6"/>
  <c r="I148" i="6"/>
  <c r="J148" i="6"/>
  <c r="K141" i="6"/>
  <c r="K142" i="6"/>
  <c r="K143" i="6"/>
  <c r="K144" i="6"/>
  <c r="K145" i="6"/>
  <c r="K146" i="6"/>
  <c r="L148" i="6"/>
  <c r="M148" i="6"/>
  <c r="N141" i="6"/>
  <c r="N142" i="6"/>
  <c r="N143" i="6"/>
  <c r="N144" i="6"/>
  <c r="N145" i="6"/>
  <c r="N146" i="6"/>
  <c r="O148" i="6"/>
  <c r="R148" i="6"/>
  <c r="S148" i="6"/>
  <c r="T141" i="6"/>
  <c r="T142" i="6"/>
  <c r="T143" i="6"/>
  <c r="T144" i="6"/>
  <c r="T145" i="6"/>
  <c r="T146" i="6"/>
  <c r="U148" i="6"/>
  <c r="V141" i="6"/>
  <c r="V142" i="6"/>
  <c r="V143" i="6"/>
  <c r="V144" i="6"/>
  <c r="V145" i="6"/>
  <c r="V146" i="6"/>
  <c r="X148" i="6"/>
  <c r="Y148" i="6"/>
  <c r="Z146" i="6"/>
  <c r="AA148" i="6"/>
  <c r="AB148" i="6"/>
  <c r="AC146" i="6"/>
  <c r="AD148" i="6"/>
  <c r="AF146" i="6"/>
  <c r="AG148" i="6"/>
  <c r="AI146" i="6"/>
  <c r="AJ148" i="6"/>
  <c r="AL146" i="6"/>
  <c r="AM148" i="6"/>
  <c r="AN141" i="6"/>
  <c r="AN144" i="6"/>
  <c r="AN146" i="6"/>
  <c r="AN164" i="6"/>
  <c r="AN165" i="6"/>
  <c r="AN166" i="6"/>
  <c r="AN167" i="6"/>
  <c r="AN168" i="6"/>
  <c r="AN169" i="6"/>
  <c r="AM171" i="6"/>
  <c r="AL164" i="6"/>
  <c r="AL165" i="6"/>
  <c r="AL166" i="6"/>
  <c r="AL167" i="6"/>
  <c r="AL168" i="6"/>
  <c r="AL169" i="6"/>
  <c r="AK171" i="6"/>
  <c r="AJ171" i="6"/>
  <c r="AI164" i="6"/>
  <c r="AI165" i="6"/>
  <c r="AI166" i="6"/>
  <c r="AI167" i="6"/>
  <c r="AI168" i="6"/>
  <c r="AI169" i="6"/>
  <c r="AH171" i="6"/>
  <c r="AG171" i="6"/>
  <c r="AF164" i="6"/>
  <c r="AF165" i="6"/>
  <c r="AF166" i="6"/>
  <c r="AF167" i="6"/>
  <c r="AF168" i="6"/>
  <c r="AF169" i="6"/>
  <c r="AE171" i="6"/>
  <c r="AD171" i="6"/>
  <c r="AC164" i="6"/>
  <c r="AC165" i="6"/>
  <c r="AC166" i="6"/>
  <c r="AC167" i="6"/>
  <c r="AC168" i="6"/>
  <c r="AC169" i="6"/>
  <c r="AB171" i="6"/>
  <c r="AA171" i="6"/>
  <c r="Z164" i="6"/>
  <c r="Z165" i="6"/>
  <c r="Z166" i="6"/>
  <c r="Z167" i="6"/>
  <c r="Z168" i="6"/>
  <c r="Z169" i="6"/>
  <c r="Y171" i="6"/>
  <c r="X171" i="6"/>
  <c r="V164" i="6"/>
  <c r="V165" i="6"/>
  <c r="V166" i="6"/>
  <c r="V167" i="6"/>
  <c r="V168" i="6"/>
  <c r="V169" i="6"/>
  <c r="U171" i="6"/>
  <c r="T164" i="6"/>
  <c r="T165" i="6"/>
  <c r="T166" i="6"/>
  <c r="T167" i="6"/>
  <c r="T168" i="6"/>
  <c r="T169" i="6"/>
  <c r="S171" i="6"/>
  <c r="R171" i="6"/>
  <c r="O171" i="6"/>
  <c r="N164" i="6"/>
  <c r="N165" i="6"/>
  <c r="N166" i="6"/>
  <c r="N167" i="6"/>
  <c r="N168" i="6"/>
  <c r="N169" i="6"/>
  <c r="M171" i="6"/>
  <c r="L171" i="6"/>
  <c r="K164" i="6"/>
  <c r="K165" i="6"/>
  <c r="K166" i="6"/>
  <c r="K167" i="6"/>
  <c r="K168" i="6"/>
  <c r="K169" i="6"/>
  <c r="J171" i="6"/>
  <c r="I171" i="6"/>
  <c r="H164" i="6"/>
  <c r="H165" i="6"/>
  <c r="H166" i="6"/>
  <c r="H167" i="6"/>
  <c r="H168" i="6"/>
  <c r="H169" i="6"/>
  <c r="G171" i="6"/>
  <c r="F171" i="6"/>
  <c r="E171" i="6"/>
  <c r="D171" i="6"/>
  <c r="D26" i="18"/>
  <c r="I26" i="18" s="1"/>
  <c r="E26" i="18"/>
  <c r="F26" i="18"/>
  <c r="G26" i="18"/>
  <c r="I21" i="18"/>
  <c r="H26" i="18"/>
  <c r="I47" i="18"/>
  <c r="H47" i="18"/>
  <c r="G47" i="18"/>
  <c r="F43" i="18"/>
  <c r="F44" i="18"/>
  <c r="F47" i="18"/>
  <c r="E42" i="18"/>
  <c r="E43" i="18"/>
  <c r="E44" i="18"/>
  <c r="E47" i="18"/>
  <c r="D42" i="18"/>
  <c r="D43" i="18"/>
  <c r="D44" i="18"/>
  <c r="D45" i="18"/>
  <c r="D46" i="18"/>
  <c r="D47" i="18"/>
  <c r="D63" i="18"/>
  <c r="D64" i="18"/>
  <c r="D65" i="18"/>
  <c r="D66" i="18"/>
  <c r="D67" i="18"/>
  <c r="D68" i="18"/>
  <c r="E63" i="18"/>
  <c r="E64" i="18"/>
  <c r="E65" i="18"/>
  <c r="E66" i="18"/>
  <c r="E67" i="18"/>
  <c r="E68" i="18"/>
  <c r="F63" i="18"/>
  <c r="F64" i="18"/>
  <c r="F65" i="18"/>
  <c r="F66" i="18"/>
  <c r="F67" i="18"/>
  <c r="F68" i="18"/>
  <c r="G63" i="18"/>
  <c r="G64" i="18"/>
  <c r="G65" i="18"/>
  <c r="G66" i="18"/>
  <c r="G67" i="18"/>
  <c r="G68" i="18"/>
  <c r="H63" i="18"/>
  <c r="I63" i="18" s="1"/>
  <c r="H64" i="18"/>
  <c r="H65" i="18"/>
  <c r="I65" i="18" s="1"/>
  <c r="H66" i="18"/>
  <c r="I66" i="18" s="1"/>
  <c r="H67" i="18"/>
  <c r="H68" i="18"/>
  <c r="I89" i="18"/>
  <c r="H84" i="18"/>
  <c r="H85" i="18"/>
  <c r="H86" i="18"/>
  <c r="H87" i="18"/>
  <c r="H88" i="18"/>
  <c r="H89" i="18"/>
  <c r="G84" i="18"/>
  <c r="G85" i="18"/>
  <c r="G86" i="18"/>
  <c r="G87" i="18"/>
  <c r="G88" i="18"/>
  <c r="G89" i="18"/>
  <c r="F84" i="18"/>
  <c r="F85" i="18"/>
  <c r="F86" i="18"/>
  <c r="F87" i="18"/>
  <c r="F88" i="18"/>
  <c r="F89" i="18"/>
  <c r="E84" i="18"/>
  <c r="E85" i="18"/>
  <c r="E86" i="18"/>
  <c r="E87" i="18"/>
  <c r="E88" i="18"/>
  <c r="E89" i="18"/>
  <c r="D84" i="18"/>
  <c r="I84" i="18" s="1"/>
  <c r="D85" i="18"/>
  <c r="I85" i="18" s="1"/>
  <c r="D86" i="18"/>
  <c r="I86" i="18" s="1"/>
  <c r="D87" i="18"/>
  <c r="I87" i="18" s="1"/>
  <c r="D88" i="18"/>
  <c r="I88" i="18" s="1"/>
  <c r="D89" i="18"/>
  <c r="I106" i="18"/>
  <c r="I107" i="18"/>
  <c r="I108" i="18"/>
  <c r="I109" i="18"/>
  <c r="I110" i="18"/>
  <c r="I105" i="18"/>
  <c r="I131" i="18"/>
  <c r="H131" i="18"/>
  <c r="G131" i="18"/>
  <c r="F131" i="18"/>
  <c r="E131" i="18"/>
  <c r="D131" i="18"/>
  <c r="W28" i="13"/>
  <c r="U24" i="13"/>
  <c r="U27" i="13"/>
  <c r="U28" i="13"/>
  <c r="S23" i="13"/>
  <c r="S24" i="13"/>
  <c r="S25" i="13"/>
  <c r="S26" i="13"/>
  <c r="S27" i="13"/>
  <c r="S28" i="13"/>
  <c r="Q23" i="13"/>
  <c r="Q24" i="13"/>
  <c r="Q25" i="13"/>
  <c r="Q26" i="13"/>
  <c r="Q27" i="13"/>
  <c r="Q28" i="13"/>
  <c r="O23" i="13"/>
  <c r="O24" i="13"/>
  <c r="O25" i="13"/>
  <c r="O26" i="13"/>
  <c r="O27" i="13"/>
  <c r="O28" i="13"/>
  <c r="M23" i="13"/>
  <c r="M24" i="13"/>
  <c r="M25" i="13"/>
  <c r="M26" i="13"/>
  <c r="M27" i="13"/>
  <c r="M28" i="13"/>
  <c r="L23" i="13"/>
  <c r="L24" i="13"/>
  <c r="L25" i="13"/>
  <c r="L26" i="13"/>
  <c r="L27" i="13"/>
  <c r="L28" i="13"/>
  <c r="K23" i="13"/>
  <c r="K24" i="13"/>
  <c r="K25" i="13"/>
  <c r="K26" i="13"/>
  <c r="K27" i="13"/>
  <c r="K28" i="13"/>
  <c r="J23" i="13"/>
  <c r="J24" i="13"/>
  <c r="J25" i="13"/>
  <c r="J26" i="13"/>
  <c r="J27" i="13"/>
  <c r="J28" i="13"/>
  <c r="I23" i="13"/>
  <c r="I24" i="13"/>
  <c r="I25" i="13"/>
  <c r="I26" i="13"/>
  <c r="I27" i="13"/>
  <c r="I28" i="13"/>
  <c r="H23" i="13"/>
  <c r="H24" i="13"/>
  <c r="H25" i="13"/>
  <c r="H26" i="13"/>
  <c r="H27" i="13"/>
  <c r="H28" i="13"/>
  <c r="G23" i="13"/>
  <c r="G24" i="13"/>
  <c r="G25" i="13"/>
  <c r="G26" i="13"/>
  <c r="G27" i="13"/>
  <c r="G28" i="13"/>
  <c r="F23" i="13"/>
  <c r="F24" i="13"/>
  <c r="F25" i="13"/>
  <c r="F26" i="13"/>
  <c r="F27" i="13"/>
  <c r="F28" i="13"/>
  <c r="E23" i="13"/>
  <c r="E24" i="13"/>
  <c r="E25" i="13"/>
  <c r="E26" i="13"/>
  <c r="E27" i="13"/>
  <c r="E28" i="13"/>
  <c r="D23" i="13"/>
  <c r="D24" i="13"/>
  <c r="D25" i="13"/>
  <c r="D26" i="13"/>
  <c r="D27" i="13"/>
  <c r="D28" i="13"/>
  <c r="D47" i="13"/>
  <c r="M47" i="13" s="1"/>
  <c r="D48" i="13"/>
  <c r="D49" i="13"/>
  <c r="D50" i="13"/>
  <c r="D51" i="13"/>
  <c r="M51" i="13" s="1"/>
  <c r="D52" i="13"/>
  <c r="F52" i="13" s="1"/>
  <c r="E47" i="13"/>
  <c r="E48" i="13"/>
  <c r="E49" i="13"/>
  <c r="E50" i="13"/>
  <c r="E51" i="13"/>
  <c r="E52" i="13"/>
  <c r="F47" i="13"/>
  <c r="F48" i="13"/>
  <c r="F49" i="13"/>
  <c r="F50" i="13"/>
  <c r="G47" i="13"/>
  <c r="G48" i="13"/>
  <c r="G49" i="13"/>
  <c r="G50" i="13"/>
  <c r="G51" i="13"/>
  <c r="J51" i="13" s="1"/>
  <c r="G52" i="13"/>
  <c r="H52" i="13" s="1"/>
  <c r="H47" i="13"/>
  <c r="H48" i="13"/>
  <c r="H49" i="13"/>
  <c r="H50" i="13"/>
  <c r="I52" i="13"/>
  <c r="I47" i="13"/>
  <c r="I48" i="13"/>
  <c r="J48" i="13" s="1"/>
  <c r="I49" i="13"/>
  <c r="I50" i="13"/>
  <c r="I51" i="13"/>
  <c r="J47" i="13"/>
  <c r="J50" i="13"/>
  <c r="K47" i="13"/>
  <c r="K48" i="13"/>
  <c r="K49" i="13"/>
  <c r="K50" i="13"/>
  <c r="K51" i="13"/>
  <c r="K52" i="13"/>
  <c r="L47" i="13"/>
  <c r="L50" i="13"/>
  <c r="L51" i="13"/>
  <c r="L52" i="13"/>
  <c r="M48" i="13"/>
  <c r="M49" i="13"/>
  <c r="M50" i="13"/>
  <c r="O47" i="13"/>
  <c r="O48" i="13"/>
  <c r="O49" i="13"/>
  <c r="O50" i="13"/>
  <c r="O51" i="13"/>
  <c r="O52" i="13"/>
  <c r="Q48" i="13"/>
  <c r="Q49" i="13"/>
  <c r="Q50" i="13"/>
  <c r="Q51" i="13"/>
  <c r="Q52" i="13"/>
  <c r="S48" i="13"/>
  <c r="S50" i="13"/>
  <c r="S51" i="13"/>
  <c r="S52" i="13"/>
  <c r="U48" i="13"/>
  <c r="U49" i="13"/>
  <c r="U50" i="13"/>
  <c r="U51" i="13"/>
  <c r="U52" i="13"/>
  <c r="W49" i="13"/>
  <c r="W50" i="13"/>
  <c r="W51" i="13"/>
  <c r="W52" i="13"/>
  <c r="W71" i="13"/>
  <c r="W72" i="13"/>
  <c r="W73" i="13"/>
  <c r="W74" i="13"/>
  <c r="W75" i="13"/>
  <c r="U71" i="13"/>
  <c r="U73" i="13"/>
  <c r="U74" i="13"/>
  <c r="U75" i="13"/>
  <c r="S71" i="13"/>
  <c r="S72" i="13"/>
  <c r="S73" i="13"/>
  <c r="S74" i="13"/>
  <c r="S75" i="13"/>
  <c r="Q71" i="13"/>
  <c r="Q72" i="13"/>
  <c r="Q73" i="13"/>
  <c r="Q74" i="13"/>
  <c r="Q75" i="13"/>
  <c r="O70" i="13"/>
  <c r="O71" i="13"/>
  <c r="O72" i="13"/>
  <c r="O73" i="13"/>
  <c r="O74" i="13"/>
  <c r="O75" i="13"/>
  <c r="M70" i="13"/>
  <c r="M71" i="13"/>
  <c r="M72" i="13"/>
  <c r="M73" i="13"/>
  <c r="M74" i="13"/>
  <c r="M75" i="13"/>
  <c r="L70" i="13"/>
  <c r="L71" i="13"/>
  <c r="L72" i="13"/>
  <c r="L73" i="13"/>
  <c r="L74" i="13"/>
  <c r="L75" i="13"/>
  <c r="K70" i="13"/>
  <c r="K71" i="13"/>
  <c r="K72" i="13"/>
  <c r="K73" i="13"/>
  <c r="K74" i="13"/>
  <c r="K75" i="13"/>
  <c r="J70" i="13"/>
  <c r="J71" i="13"/>
  <c r="J72" i="13"/>
  <c r="J73" i="13"/>
  <c r="J74" i="13"/>
  <c r="J75" i="13"/>
  <c r="I70" i="13"/>
  <c r="I71" i="13"/>
  <c r="I72" i="13"/>
  <c r="I73" i="13"/>
  <c r="I74" i="13"/>
  <c r="I75" i="13"/>
  <c r="H70" i="13"/>
  <c r="H71" i="13"/>
  <c r="H72" i="13"/>
  <c r="H73" i="13"/>
  <c r="H74" i="13"/>
  <c r="H75" i="13"/>
  <c r="G70" i="13"/>
  <c r="G71" i="13"/>
  <c r="G72" i="13"/>
  <c r="G73" i="13"/>
  <c r="G74" i="13"/>
  <c r="G75" i="13"/>
  <c r="F70" i="13"/>
  <c r="F71" i="13"/>
  <c r="F72" i="13"/>
  <c r="F73" i="13"/>
  <c r="F74" i="13"/>
  <c r="F75" i="13"/>
  <c r="E70" i="13"/>
  <c r="E71" i="13"/>
  <c r="E72" i="13"/>
  <c r="E73" i="13"/>
  <c r="E74" i="13"/>
  <c r="E75" i="13"/>
  <c r="D70" i="13"/>
  <c r="D71" i="13"/>
  <c r="D72" i="13"/>
  <c r="D73" i="13"/>
  <c r="D74" i="13"/>
  <c r="D75" i="13"/>
  <c r="W93" i="13"/>
  <c r="W94" i="13"/>
  <c r="W95" i="13"/>
  <c r="W96" i="13"/>
  <c r="W97" i="13"/>
  <c r="W98" i="13"/>
  <c r="U93" i="13"/>
  <c r="U94" i="13"/>
  <c r="U95" i="13"/>
  <c r="U96" i="13"/>
  <c r="U97" i="13"/>
  <c r="U98" i="13"/>
  <c r="S93" i="13"/>
  <c r="S94" i="13"/>
  <c r="S95" i="13"/>
  <c r="S96" i="13"/>
  <c r="S97" i="13"/>
  <c r="S98" i="13"/>
  <c r="Q93" i="13"/>
  <c r="Q94" i="13"/>
  <c r="Q95" i="13"/>
  <c r="Q96" i="13"/>
  <c r="Q97" i="13"/>
  <c r="Q98" i="13"/>
  <c r="M93" i="13"/>
  <c r="M94" i="13"/>
  <c r="M95" i="13"/>
  <c r="M96" i="13"/>
  <c r="M97" i="13"/>
  <c r="M98" i="13"/>
  <c r="L93" i="13"/>
  <c r="L94" i="13"/>
  <c r="L95" i="13"/>
  <c r="L96" i="13"/>
  <c r="L97" i="13"/>
  <c r="L98" i="13"/>
  <c r="K93" i="13"/>
  <c r="K94" i="13"/>
  <c r="K95" i="13"/>
  <c r="K96" i="13"/>
  <c r="K97" i="13"/>
  <c r="K98" i="13"/>
  <c r="J93" i="13"/>
  <c r="J94" i="13"/>
  <c r="J95" i="13"/>
  <c r="J96" i="13"/>
  <c r="J97" i="13"/>
  <c r="J98" i="13"/>
  <c r="I93" i="13"/>
  <c r="I94" i="13"/>
  <c r="I95" i="13"/>
  <c r="I96" i="13"/>
  <c r="I97" i="13"/>
  <c r="I98" i="13"/>
  <c r="H93" i="13"/>
  <c r="H94" i="13"/>
  <c r="H95" i="13"/>
  <c r="H96" i="13"/>
  <c r="H97" i="13"/>
  <c r="H98" i="13"/>
  <c r="G93" i="13"/>
  <c r="G94" i="13"/>
  <c r="G95" i="13"/>
  <c r="G96" i="13"/>
  <c r="G97" i="13"/>
  <c r="G98" i="13"/>
  <c r="F93" i="13"/>
  <c r="F94" i="13"/>
  <c r="F95" i="13"/>
  <c r="F96" i="13"/>
  <c r="F97" i="13"/>
  <c r="F98" i="13"/>
  <c r="E93" i="13"/>
  <c r="E94" i="13"/>
  <c r="E95" i="13"/>
  <c r="E96" i="13"/>
  <c r="E97" i="13"/>
  <c r="E98" i="13"/>
  <c r="D93" i="13"/>
  <c r="D94" i="13"/>
  <c r="D95" i="13"/>
  <c r="D96" i="13"/>
  <c r="D97" i="13"/>
  <c r="D98" i="13"/>
  <c r="D116" i="13"/>
  <c r="M116" i="13" s="1"/>
  <c r="D117" i="13"/>
  <c r="D118" i="13"/>
  <c r="D119" i="13"/>
  <c r="D120" i="13"/>
  <c r="M120" i="13" s="1"/>
  <c r="D121" i="13"/>
  <c r="M121" i="13" s="1"/>
  <c r="E116" i="13"/>
  <c r="E117" i="13"/>
  <c r="E118" i="13"/>
  <c r="E119" i="13"/>
  <c r="E120" i="13"/>
  <c r="E121" i="13"/>
  <c r="F121" i="13" s="1"/>
  <c r="F116" i="13"/>
  <c r="F117" i="13"/>
  <c r="F118" i="13"/>
  <c r="F119" i="13"/>
  <c r="F120" i="13"/>
  <c r="G116" i="13"/>
  <c r="G117" i="13"/>
  <c r="J117" i="13" s="1"/>
  <c r="G118" i="13"/>
  <c r="G119" i="13"/>
  <c r="G120" i="13"/>
  <c r="J120" i="13" s="1"/>
  <c r="G121" i="13"/>
  <c r="H116" i="13"/>
  <c r="H117" i="13"/>
  <c r="H118" i="13"/>
  <c r="H119" i="13"/>
  <c r="H120" i="13"/>
  <c r="I116" i="13"/>
  <c r="J116" i="13" s="1"/>
  <c r="I117" i="13"/>
  <c r="I118" i="13"/>
  <c r="I119" i="13"/>
  <c r="I120" i="13"/>
  <c r="I121" i="13"/>
  <c r="J118" i="13"/>
  <c r="J119" i="13"/>
  <c r="K116" i="13"/>
  <c r="K117" i="13"/>
  <c r="K118" i="13"/>
  <c r="K119" i="13"/>
  <c r="L119" i="13" s="1"/>
  <c r="K120" i="13"/>
  <c r="L120" i="13" s="1"/>
  <c r="K121" i="13"/>
  <c r="L116" i="13"/>
  <c r="L117" i="13"/>
  <c r="L118" i="13"/>
  <c r="M117" i="13"/>
  <c r="M118" i="13"/>
  <c r="M119" i="13"/>
  <c r="O116" i="13"/>
  <c r="O117" i="13"/>
  <c r="O118" i="13"/>
  <c r="O119" i="13"/>
  <c r="O120" i="13"/>
  <c r="O121" i="13"/>
  <c r="Q116" i="13"/>
  <c r="Q117" i="13"/>
  <c r="Q118" i="13"/>
  <c r="Q119" i="13"/>
  <c r="Q120" i="13"/>
  <c r="Q121" i="13"/>
  <c r="S116" i="13"/>
  <c r="S117" i="13"/>
  <c r="S118" i="13"/>
  <c r="S119" i="13"/>
  <c r="S120" i="13"/>
  <c r="S121" i="13"/>
  <c r="U116" i="13"/>
  <c r="U117" i="13"/>
  <c r="U118" i="13"/>
  <c r="U119" i="13"/>
  <c r="U120" i="13"/>
  <c r="U121" i="13"/>
  <c r="W116" i="13"/>
  <c r="W117" i="13"/>
  <c r="W118" i="13"/>
  <c r="W119" i="13"/>
  <c r="W120" i="13"/>
  <c r="W121" i="13"/>
  <c r="W144" i="13"/>
  <c r="U144" i="13"/>
  <c r="S141" i="13"/>
  <c r="S144" i="13"/>
  <c r="Q140" i="13"/>
  <c r="Q141" i="13"/>
  <c r="Q142" i="13"/>
  <c r="Q144" i="13"/>
  <c r="O139" i="13"/>
  <c r="O140" i="13"/>
  <c r="O141" i="13"/>
  <c r="O142" i="13"/>
  <c r="O143" i="13"/>
  <c r="O144" i="13"/>
  <c r="M139" i="13"/>
  <c r="M140" i="13"/>
  <c r="M141" i="13"/>
  <c r="M142" i="13"/>
  <c r="M143" i="13"/>
  <c r="M144" i="13"/>
  <c r="L139" i="13"/>
  <c r="L140" i="13"/>
  <c r="L141" i="13"/>
  <c r="L142" i="13"/>
  <c r="L143" i="13"/>
  <c r="L144" i="13"/>
  <c r="K139" i="13"/>
  <c r="K140" i="13"/>
  <c r="K141" i="13"/>
  <c r="K142" i="13"/>
  <c r="K143" i="13"/>
  <c r="K144" i="13"/>
  <c r="J139" i="13"/>
  <c r="J140" i="13"/>
  <c r="J141" i="13"/>
  <c r="J142" i="13"/>
  <c r="J143" i="13"/>
  <c r="J144" i="13"/>
  <c r="I139" i="13"/>
  <c r="I140" i="13"/>
  <c r="I141" i="13"/>
  <c r="I142" i="13"/>
  <c r="I143" i="13"/>
  <c r="I144" i="13"/>
  <c r="H139" i="13"/>
  <c r="H140" i="13"/>
  <c r="H141" i="13"/>
  <c r="H142" i="13"/>
  <c r="H143" i="13"/>
  <c r="H144" i="13"/>
  <c r="G139" i="13"/>
  <c r="G140" i="13"/>
  <c r="G141" i="13"/>
  <c r="G142" i="13"/>
  <c r="G143" i="13"/>
  <c r="G144" i="13"/>
  <c r="F139" i="13"/>
  <c r="F140" i="13"/>
  <c r="F141" i="13"/>
  <c r="F142" i="13"/>
  <c r="F143" i="13"/>
  <c r="F144" i="13"/>
  <c r="E139" i="13"/>
  <c r="E140" i="13"/>
  <c r="E141" i="13"/>
  <c r="E142" i="13"/>
  <c r="E143" i="13"/>
  <c r="E144" i="13"/>
  <c r="D139" i="13"/>
  <c r="D140" i="13"/>
  <c r="D141" i="13"/>
  <c r="D142" i="13"/>
  <c r="D143" i="13"/>
  <c r="D144" i="13"/>
  <c r="W162" i="13"/>
  <c r="W163" i="13"/>
  <c r="W164" i="13"/>
  <c r="W165" i="13"/>
  <c r="W166" i="13"/>
  <c r="W167" i="13"/>
  <c r="U162" i="13"/>
  <c r="U163" i="13"/>
  <c r="U164" i="13"/>
  <c r="U165" i="13"/>
  <c r="U166" i="13"/>
  <c r="U167" i="13"/>
  <c r="S162" i="13"/>
  <c r="S163" i="13"/>
  <c r="S164" i="13"/>
  <c r="S165" i="13"/>
  <c r="S166" i="13"/>
  <c r="S167" i="13"/>
  <c r="Q162" i="13"/>
  <c r="Q163" i="13"/>
  <c r="Q164" i="13"/>
  <c r="Q165" i="13"/>
  <c r="Q166" i="13"/>
  <c r="Q167" i="13"/>
  <c r="O162" i="13"/>
  <c r="O163" i="13"/>
  <c r="O164" i="13"/>
  <c r="O165" i="13"/>
  <c r="O166" i="13"/>
  <c r="O167" i="13"/>
  <c r="K162" i="13"/>
  <c r="M162" i="13" s="1"/>
  <c r="K163" i="13"/>
  <c r="M163" i="13" s="1"/>
  <c r="K164" i="13"/>
  <c r="M164" i="13" s="1"/>
  <c r="K165" i="13"/>
  <c r="M165" i="13" s="1"/>
  <c r="K166" i="13"/>
  <c r="M166" i="13" s="1"/>
  <c r="K167" i="13"/>
  <c r="L167" i="13" s="1"/>
  <c r="I162" i="13"/>
  <c r="J162" i="13" s="1"/>
  <c r="I163" i="13"/>
  <c r="J163" i="13" s="1"/>
  <c r="I164" i="13"/>
  <c r="J164" i="13" s="1"/>
  <c r="I165" i="13"/>
  <c r="J165" i="13" s="1"/>
  <c r="I166" i="13"/>
  <c r="J166" i="13" s="1"/>
  <c r="I167" i="13"/>
  <c r="J167" i="13" s="1"/>
  <c r="G162" i="13"/>
  <c r="H162" i="13" s="1"/>
  <c r="G163" i="13"/>
  <c r="H163" i="13" s="1"/>
  <c r="G164" i="13"/>
  <c r="H164" i="13" s="1"/>
  <c r="G165" i="13"/>
  <c r="H165" i="13" s="1"/>
  <c r="G166" i="13"/>
  <c r="H166" i="13" s="1"/>
  <c r="G167" i="13"/>
  <c r="H167" i="13" s="1"/>
  <c r="E162" i="13"/>
  <c r="F162" i="13" s="1"/>
  <c r="E163" i="13"/>
  <c r="F163" i="13" s="1"/>
  <c r="E164" i="13"/>
  <c r="F164" i="13" s="1"/>
  <c r="E165" i="13"/>
  <c r="F165" i="13" s="1"/>
  <c r="E166" i="13"/>
  <c r="F166" i="13" s="1"/>
  <c r="E167" i="13"/>
  <c r="F167" i="13" s="1"/>
  <c r="D162" i="13"/>
  <c r="D163" i="13"/>
  <c r="D164" i="13"/>
  <c r="D165" i="13"/>
  <c r="D166" i="13"/>
  <c r="D167" i="13"/>
  <c r="N98" i="9"/>
  <c r="M98" i="9"/>
  <c r="L98" i="9"/>
  <c r="K98" i="9"/>
  <c r="J98" i="9"/>
  <c r="I98" i="9"/>
  <c r="H98" i="9"/>
  <c r="G98" i="9"/>
  <c r="F98" i="9"/>
  <c r="E98" i="9"/>
  <c r="D98" i="9"/>
  <c r="N76" i="9"/>
  <c r="M76" i="9"/>
  <c r="L76" i="9"/>
  <c r="K76" i="9"/>
  <c r="J76" i="9"/>
  <c r="I76" i="9"/>
  <c r="H76" i="9"/>
  <c r="G76" i="9"/>
  <c r="F76" i="9"/>
  <c r="E76" i="9"/>
  <c r="D76" i="9"/>
  <c r="N54" i="9"/>
  <c r="M54" i="9"/>
  <c r="L54" i="9"/>
  <c r="K54" i="9"/>
  <c r="J54" i="9"/>
  <c r="I54" i="9"/>
  <c r="H54" i="9"/>
  <c r="G54" i="9"/>
  <c r="F54" i="9"/>
  <c r="E54" i="9"/>
  <c r="D54" i="9"/>
  <c r="AU30" i="9"/>
  <c r="AT30" i="9"/>
  <c r="AS30" i="9"/>
  <c r="AQ30" i="9"/>
  <c r="AP30" i="9"/>
  <c r="AO30" i="9"/>
  <c r="AM30" i="9"/>
  <c r="AL30" i="9"/>
  <c r="AK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196" i="27"/>
  <c r="E196" i="27"/>
  <c r="F196" i="27"/>
  <c r="G196" i="27"/>
  <c r="H196" i="27"/>
  <c r="I196" i="27"/>
  <c r="I175" i="27"/>
  <c r="H175" i="27"/>
  <c r="G175" i="27"/>
  <c r="F175" i="27"/>
  <c r="E175" i="27"/>
  <c r="D175" i="27"/>
  <c r="D154" i="27"/>
  <c r="E154" i="27"/>
  <c r="F154" i="27"/>
  <c r="G154" i="27"/>
  <c r="H154" i="27"/>
  <c r="I154" i="27"/>
  <c r="D133" i="27"/>
  <c r="E133" i="27"/>
  <c r="F133" i="27"/>
  <c r="G133" i="27"/>
  <c r="H133" i="27"/>
  <c r="I133" i="27"/>
  <c r="I112" i="27"/>
  <c r="H112" i="27"/>
  <c r="G112" i="27"/>
  <c r="F112" i="27"/>
  <c r="E112" i="27"/>
  <c r="D112" i="27"/>
  <c r="I91" i="27"/>
  <c r="H91" i="27"/>
  <c r="G91" i="27"/>
  <c r="F91" i="27"/>
  <c r="E91" i="27"/>
  <c r="D91" i="27"/>
  <c r="I70" i="27"/>
  <c r="H70" i="27"/>
  <c r="G70" i="27"/>
  <c r="F70" i="27"/>
  <c r="E70" i="27"/>
  <c r="D70" i="27"/>
  <c r="D49" i="27"/>
  <c r="E49" i="27"/>
  <c r="E28" i="27"/>
  <c r="AU29" i="7"/>
  <c r="AS29" i="7"/>
  <c r="AM29" i="7"/>
  <c r="AG29" i="7"/>
  <c r="AA29" i="7"/>
  <c r="P24" i="7"/>
  <c r="P25" i="7"/>
  <c r="P26" i="7"/>
  <c r="P27" i="7"/>
  <c r="P28" i="7"/>
  <c r="P29" i="7"/>
  <c r="N24" i="7"/>
  <c r="N25" i="7"/>
  <c r="N26" i="7"/>
  <c r="N27" i="7"/>
  <c r="N28" i="7"/>
  <c r="N29" i="7"/>
  <c r="M31" i="7"/>
  <c r="J24" i="7"/>
  <c r="J25" i="7"/>
  <c r="J26" i="7"/>
  <c r="J27" i="7"/>
  <c r="J28" i="7"/>
  <c r="J29" i="7"/>
  <c r="H24" i="7"/>
  <c r="H25" i="7"/>
  <c r="H26" i="7"/>
  <c r="H27" i="7"/>
  <c r="H28" i="7"/>
  <c r="H29" i="7"/>
  <c r="G31" i="7"/>
  <c r="F24" i="7"/>
  <c r="F25" i="7"/>
  <c r="F26" i="7"/>
  <c r="F27" i="7"/>
  <c r="F28" i="7"/>
  <c r="F29" i="7"/>
  <c r="E31" i="7"/>
  <c r="D31" i="7"/>
  <c r="D56" i="7"/>
  <c r="E56" i="7"/>
  <c r="G56" i="7"/>
  <c r="I56" i="7"/>
  <c r="F49" i="7"/>
  <c r="F50" i="7"/>
  <c r="F51" i="7"/>
  <c r="F52" i="7"/>
  <c r="F53" i="7"/>
  <c r="F54" i="7"/>
  <c r="H49" i="7"/>
  <c r="H50" i="7"/>
  <c r="H51" i="7"/>
  <c r="H52" i="7"/>
  <c r="H53" i="7"/>
  <c r="H54" i="7"/>
  <c r="J49" i="7"/>
  <c r="J50" i="7"/>
  <c r="J51" i="7"/>
  <c r="J52" i="7"/>
  <c r="J53" i="7"/>
  <c r="J54" i="7"/>
  <c r="K56" i="7"/>
  <c r="M56" i="7"/>
  <c r="N49" i="7"/>
  <c r="N50" i="7"/>
  <c r="N51" i="7"/>
  <c r="N52" i="7"/>
  <c r="N53" i="7"/>
  <c r="N54" i="7"/>
  <c r="P49" i="7"/>
  <c r="P50" i="7"/>
  <c r="P51" i="7"/>
  <c r="P52" i="7"/>
  <c r="P53" i="7"/>
  <c r="P54" i="7"/>
  <c r="R56" i="7"/>
  <c r="S56" i="7"/>
  <c r="T56" i="7"/>
  <c r="U54" i="7"/>
  <c r="V56" i="7"/>
  <c r="W56" i="7"/>
  <c r="X56" i="7"/>
  <c r="Y56" i="7"/>
  <c r="Z56" i="7"/>
  <c r="AA54" i="7"/>
  <c r="AB56" i="7"/>
  <c r="AC56" i="7"/>
  <c r="AD56" i="7"/>
  <c r="AE56" i="7"/>
  <c r="AG54" i="7"/>
  <c r="AH56" i="7"/>
  <c r="AK56" i="7"/>
  <c r="AM54" i="7"/>
  <c r="AN56" i="7"/>
  <c r="AQ56" i="7"/>
  <c r="AS54" i="7"/>
  <c r="AU54" i="7"/>
  <c r="AU78" i="7"/>
  <c r="AS78" i="7"/>
  <c r="AQ80" i="7"/>
  <c r="AN80" i="7"/>
  <c r="AM78" i="7"/>
  <c r="AK80" i="7"/>
  <c r="AH80" i="7"/>
  <c r="AG78" i="7"/>
  <c r="AE80" i="7"/>
  <c r="AC80" i="7"/>
  <c r="AB80" i="7"/>
  <c r="AA78" i="7"/>
  <c r="Z80" i="7"/>
  <c r="Y80" i="7"/>
  <c r="X80" i="7"/>
  <c r="W80" i="7"/>
  <c r="V80" i="7"/>
  <c r="U73" i="7"/>
  <c r="U74" i="7"/>
  <c r="U75" i="7"/>
  <c r="U76" i="7"/>
  <c r="U77" i="7"/>
  <c r="U78" i="7"/>
  <c r="T80" i="7"/>
  <c r="S80" i="7"/>
  <c r="R80" i="7"/>
  <c r="P73" i="7"/>
  <c r="P74" i="7"/>
  <c r="P75" i="7"/>
  <c r="P76" i="7"/>
  <c r="P77" i="7"/>
  <c r="P78" i="7"/>
  <c r="O80" i="7"/>
  <c r="N73" i="7"/>
  <c r="N74" i="7"/>
  <c r="N75" i="7"/>
  <c r="N76" i="7"/>
  <c r="N77" i="7"/>
  <c r="N78" i="7"/>
  <c r="M80" i="7"/>
  <c r="K80" i="7"/>
  <c r="I80" i="7"/>
  <c r="G80" i="7"/>
  <c r="J73" i="7"/>
  <c r="J74" i="7"/>
  <c r="J75" i="7"/>
  <c r="J76" i="7"/>
  <c r="J77" i="7"/>
  <c r="J78" i="7"/>
  <c r="H73" i="7"/>
  <c r="H74" i="7"/>
  <c r="H75" i="7"/>
  <c r="H76" i="7"/>
  <c r="H77" i="7"/>
  <c r="H78" i="7"/>
  <c r="F73" i="7"/>
  <c r="F74" i="7"/>
  <c r="F75" i="7"/>
  <c r="F76" i="7"/>
  <c r="F77" i="7"/>
  <c r="F78" i="7"/>
  <c r="E80" i="7"/>
  <c r="D80" i="7"/>
  <c r="D104" i="7"/>
  <c r="E104" i="7"/>
  <c r="F97" i="7"/>
  <c r="F98" i="7"/>
  <c r="F99" i="7"/>
  <c r="F100" i="7"/>
  <c r="F101" i="7"/>
  <c r="F102" i="7"/>
  <c r="G104" i="7"/>
  <c r="H97" i="7"/>
  <c r="H98" i="7"/>
  <c r="H99" i="7"/>
  <c r="H100" i="7"/>
  <c r="H101" i="7"/>
  <c r="H102" i="7"/>
  <c r="I104" i="7"/>
  <c r="J97" i="7"/>
  <c r="J98" i="7"/>
  <c r="J99" i="7"/>
  <c r="J100" i="7"/>
  <c r="J101" i="7"/>
  <c r="J102" i="7"/>
  <c r="K104" i="7"/>
  <c r="M104" i="7"/>
  <c r="N97" i="7"/>
  <c r="N98" i="7"/>
  <c r="N99" i="7"/>
  <c r="N100" i="7"/>
  <c r="N101" i="7"/>
  <c r="N102" i="7"/>
  <c r="P97" i="7"/>
  <c r="P98" i="7"/>
  <c r="P99" i="7"/>
  <c r="P100" i="7"/>
  <c r="P101" i="7"/>
  <c r="P102" i="7"/>
  <c r="S104" i="7"/>
  <c r="U102" i="7"/>
  <c r="V104" i="7"/>
  <c r="Y104" i="7"/>
  <c r="AA102" i="7"/>
  <c r="AB104" i="7"/>
  <c r="AE104" i="7"/>
  <c r="AG102" i="7"/>
  <c r="AH104" i="7"/>
  <c r="AK104" i="7"/>
  <c r="AM102" i="7"/>
  <c r="AN104" i="7"/>
  <c r="AQ104" i="7"/>
  <c r="AS102" i="7"/>
  <c r="AU102" i="7"/>
  <c r="AU126" i="7"/>
  <c r="AS126" i="7"/>
  <c r="AQ128" i="7"/>
  <c r="AM126" i="7"/>
  <c r="AK128" i="7"/>
  <c r="AG126" i="7"/>
  <c r="AE128" i="7"/>
  <c r="AA126" i="7"/>
  <c r="Y128" i="7"/>
  <c r="U126" i="7"/>
  <c r="S128" i="7"/>
  <c r="P121" i="7"/>
  <c r="P122" i="7"/>
  <c r="P123" i="7"/>
  <c r="P124" i="7"/>
  <c r="P125" i="7"/>
  <c r="P126" i="7"/>
  <c r="O128" i="7"/>
  <c r="N121" i="7"/>
  <c r="N122" i="7"/>
  <c r="N123" i="7"/>
  <c r="N124" i="7"/>
  <c r="N125" i="7"/>
  <c r="N126" i="7"/>
  <c r="M128" i="7"/>
  <c r="K128" i="7"/>
  <c r="J121" i="7"/>
  <c r="J122" i="7"/>
  <c r="J123" i="7"/>
  <c r="J124" i="7"/>
  <c r="J125" i="7"/>
  <c r="J126" i="7"/>
  <c r="I128" i="7"/>
  <c r="H121" i="7"/>
  <c r="H122" i="7"/>
  <c r="H123" i="7"/>
  <c r="H124" i="7"/>
  <c r="H125" i="7"/>
  <c r="H126" i="7"/>
  <c r="G128" i="7"/>
  <c r="F121" i="7"/>
  <c r="F122" i="7"/>
  <c r="F123" i="7"/>
  <c r="F124" i="7"/>
  <c r="F125" i="7"/>
  <c r="F126" i="7"/>
  <c r="E128" i="7"/>
  <c r="D128" i="7"/>
  <c r="D152" i="7"/>
  <c r="E152" i="7"/>
  <c r="F145" i="7"/>
  <c r="F146" i="7"/>
  <c r="F147" i="7"/>
  <c r="F148" i="7"/>
  <c r="F149" i="7"/>
  <c r="F150" i="7"/>
  <c r="G152" i="7"/>
  <c r="H145" i="7"/>
  <c r="H146" i="7"/>
  <c r="H147" i="7"/>
  <c r="H148" i="7"/>
  <c r="H149" i="7"/>
  <c r="H150" i="7"/>
  <c r="I152" i="7"/>
  <c r="J145" i="7"/>
  <c r="J146" i="7"/>
  <c r="J147" i="7"/>
  <c r="J148" i="7"/>
  <c r="J149" i="7"/>
  <c r="J150" i="7"/>
  <c r="K152" i="7"/>
  <c r="M152" i="7"/>
  <c r="N145" i="7"/>
  <c r="N146" i="7"/>
  <c r="N147" i="7"/>
  <c r="N148" i="7"/>
  <c r="N149" i="7"/>
  <c r="N150" i="7"/>
  <c r="O152" i="7"/>
  <c r="P145" i="7"/>
  <c r="P146" i="7"/>
  <c r="P147" i="7"/>
  <c r="P148" i="7"/>
  <c r="P149" i="7"/>
  <c r="P150" i="7"/>
  <c r="S152" i="7"/>
  <c r="U150" i="7"/>
  <c r="Y152" i="7"/>
  <c r="AA150" i="7"/>
  <c r="AE152" i="7"/>
  <c r="AG150" i="7"/>
  <c r="AK152" i="7"/>
  <c r="AM150" i="7"/>
  <c r="AQ152" i="7"/>
  <c r="AS150" i="7"/>
  <c r="AU150" i="7"/>
  <c r="AU174" i="7"/>
  <c r="AS174" i="7"/>
  <c r="AQ176" i="7"/>
  <c r="AN176" i="7"/>
  <c r="AM174" i="7"/>
  <c r="AK176" i="7"/>
  <c r="AH176" i="7"/>
  <c r="AG174" i="7"/>
  <c r="AE176" i="7"/>
  <c r="AD176" i="7"/>
  <c r="AC176" i="7"/>
  <c r="AB176" i="7"/>
  <c r="AA174" i="7"/>
  <c r="Z176" i="7"/>
  <c r="Y176" i="7"/>
  <c r="X176" i="7"/>
  <c r="W176" i="7"/>
  <c r="V176" i="7"/>
  <c r="U174" i="7"/>
  <c r="T176" i="7"/>
  <c r="S176" i="7"/>
  <c r="R176" i="7"/>
  <c r="P169" i="7"/>
  <c r="P170" i="7"/>
  <c r="P171" i="7"/>
  <c r="P172" i="7"/>
  <c r="P173" i="7"/>
  <c r="P174" i="7"/>
  <c r="O176" i="7"/>
  <c r="N169" i="7"/>
  <c r="N170" i="7"/>
  <c r="N171" i="7"/>
  <c r="N172" i="7"/>
  <c r="N173" i="7"/>
  <c r="N174" i="7"/>
  <c r="M176" i="7"/>
  <c r="K176" i="7"/>
  <c r="J169" i="7"/>
  <c r="J170" i="7"/>
  <c r="J171" i="7"/>
  <c r="J172" i="7"/>
  <c r="J173" i="7"/>
  <c r="J174" i="7"/>
  <c r="I176" i="7"/>
  <c r="H169" i="7"/>
  <c r="H170" i="7"/>
  <c r="H171" i="7"/>
  <c r="H172" i="7"/>
  <c r="H173" i="7"/>
  <c r="H174" i="7"/>
  <c r="G176" i="7"/>
  <c r="F169" i="7"/>
  <c r="F170" i="7"/>
  <c r="F171" i="7"/>
  <c r="F172" i="7"/>
  <c r="F173" i="7"/>
  <c r="F174" i="7"/>
  <c r="E176" i="7"/>
  <c r="D176" i="7"/>
  <c r="AM30" i="29"/>
  <c r="AT30" i="29"/>
  <c r="AX23" i="29"/>
  <c r="AX24" i="29"/>
  <c r="AX25" i="29"/>
  <c r="AX28" i="29"/>
  <c r="AV28" i="29"/>
  <c r="AS30" i="29"/>
  <c r="AQ28" i="29"/>
  <c r="AO30" i="29"/>
  <c r="AN30" i="29"/>
  <c r="AL28" i="29"/>
  <c r="AJ30" i="29"/>
  <c r="AI30" i="29"/>
  <c r="AH30" i="29"/>
  <c r="AG28" i="29"/>
  <c r="AE30" i="29"/>
  <c r="AD30" i="29"/>
  <c r="AB28" i="29"/>
  <c r="Z30" i="29"/>
  <c r="Y30" i="29"/>
  <c r="X30" i="29"/>
  <c r="V23" i="29"/>
  <c r="V24" i="29"/>
  <c r="V25" i="29"/>
  <c r="V26" i="29"/>
  <c r="V27" i="29"/>
  <c r="V28" i="29"/>
  <c r="U23" i="29"/>
  <c r="U24" i="29"/>
  <c r="U25" i="29"/>
  <c r="U26" i="29"/>
  <c r="U27" i="29"/>
  <c r="U28" i="29"/>
  <c r="T23" i="29"/>
  <c r="T24" i="29"/>
  <c r="T25" i="29"/>
  <c r="T26" i="29"/>
  <c r="T27" i="29"/>
  <c r="T28" i="29"/>
  <c r="S30" i="29"/>
  <c r="R30" i="29"/>
  <c r="O30" i="29"/>
  <c r="N23" i="29"/>
  <c r="N24" i="29"/>
  <c r="N25" i="29"/>
  <c r="N26" i="29"/>
  <c r="N27" i="29"/>
  <c r="N28" i="29"/>
  <c r="M30" i="29"/>
  <c r="L30" i="29"/>
  <c r="K23" i="29"/>
  <c r="K24" i="29"/>
  <c r="K25" i="29"/>
  <c r="K26" i="29"/>
  <c r="K27" i="29"/>
  <c r="K28" i="29"/>
  <c r="J30" i="29"/>
  <c r="I30" i="29"/>
  <c r="H23" i="29"/>
  <c r="H24" i="29"/>
  <c r="H25" i="29"/>
  <c r="H26" i="29"/>
  <c r="H27" i="29"/>
  <c r="H28" i="29"/>
  <c r="G30" i="29"/>
  <c r="F30" i="29"/>
  <c r="E30" i="29"/>
  <c r="D30" i="29"/>
  <c r="D54" i="29"/>
  <c r="E54" i="29"/>
  <c r="F54" i="29"/>
  <c r="G54" i="29"/>
  <c r="H47" i="29"/>
  <c r="H48" i="29"/>
  <c r="H49" i="29"/>
  <c r="H50" i="29"/>
  <c r="H51" i="29"/>
  <c r="H52" i="29"/>
  <c r="I54" i="29"/>
  <c r="J54" i="29"/>
  <c r="K47" i="29"/>
  <c r="K48" i="29"/>
  <c r="K49" i="29"/>
  <c r="K50" i="29"/>
  <c r="K51" i="29"/>
  <c r="K52" i="29"/>
  <c r="L54" i="29"/>
  <c r="M54" i="29"/>
  <c r="N47" i="29"/>
  <c r="N48" i="29"/>
  <c r="N49" i="29"/>
  <c r="N50" i="29"/>
  <c r="N51" i="29"/>
  <c r="N52" i="29"/>
  <c r="O54" i="29"/>
  <c r="R54" i="29"/>
  <c r="S54" i="29"/>
  <c r="T47" i="29"/>
  <c r="T48" i="29"/>
  <c r="T49" i="29"/>
  <c r="T50" i="29"/>
  <c r="T51" i="29"/>
  <c r="T52" i="29"/>
  <c r="U47" i="29"/>
  <c r="U48" i="29"/>
  <c r="U49" i="29"/>
  <c r="U50" i="29"/>
  <c r="U51" i="29"/>
  <c r="U52" i="29"/>
  <c r="V47" i="29"/>
  <c r="V48" i="29"/>
  <c r="V49" i="29"/>
  <c r="V50" i="29"/>
  <c r="V51" i="29"/>
  <c r="V52" i="29"/>
  <c r="X54" i="29"/>
  <c r="Y54" i="29"/>
  <c r="Z54" i="29"/>
  <c r="AA54" i="29"/>
  <c r="AB52" i="29"/>
  <c r="AC54" i="29"/>
  <c r="AD54" i="29"/>
  <c r="AE54" i="29"/>
  <c r="AG52" i="29"/>
  <c r="AH54" i="29"/>
  <c r="AI54" i="29"/>
  <c r="AJ54" i="29"/>
  <c r="AL52" i="29"/>
  <c r="AM54" i="29"/>
  <c r="AN54" i="29"/>
  <c r="AO54" i="29"/>
  <c r="AQ52" i="29"/>
  <c r="AR54" i="29"/>
  <c r="AS54" i="29"/>
  <c r="AT54" i="29"/>
  <c r="AV52" i="29"/>
  <c r="AX52" i="29"/>
  <c r="AX75" i="29"/>
  <c r="AV75" i="29"/>
  <c r="AT77" i="29"/>
  <c r="AS77" i="29"/>
  <c r="AR77" i="29"/>
  <c r="AQ75" i="29"/>
  <c r="AO77" i="29"/>
  <c r="AN77" i="29"/>
  <c r="AM77" i="29"/>
  <c r="AL75" i="29"/>
  <c r="AJ77" i="29"/>
  <c r="AI77" i="29"/>
  <c r="AH77" i="29"/>
  <c r="AG75" i="29"/>
  <c r="AE77" i="29"/>
  <c r="AD77" i="29"/>
  <c r="AC77" i="29"/>
  <c r="AB75" i="29"/>
  <c r="AA77" i="29"/>
  <c r="Z77" i="29"/>
  <c r="Y77" i="29"/>
  <c r="X77" i="29"/>
  <c r="V70" i="29"/>
  <c r="V71" i="29"/>
  <c r="V72" i="29"/>
  <c r="V73" i="29"/>
  <c r="V74" i="29"/>
  <c r="V75" i="29"/>
  <c r="U70" i="29"/>
  <c r="U71" i="29"/>
  <c r="U72" i="29"/>
  <c r="U73" i="29"/>
  <c r="U74" i="29"/>
  <c r="U75" i="29"/>
  <c r="T70" i="29"/>
  <c r="T71" i="29"/>
  <c r="T72" i="29"/>
  <c r="T73" i="29"/>
  <c r="T74" i="29"/>
  <c r="T75" i="29"/>
  <c r="S77" i="29"/>
  <c r="R77" i="29"/>
  <c r="O77" i="29"/>
  <c r="N70" i="29"/>
  <c r="N71" i="29"/>
  <c r="N72" i="29"/>
  <c r="N73" i="29"/>
  <c r="N74" i="29"/>
  <c r="N75" i="29"/>
  <c r="M77" i="29"/>
  <c r="L77" i="29"/>
  <c r="K70" i="29"/>
  <c r="K71" i="29"/>
  <c r="K72" i="29"/>
  <c r="K73" i="29"/>
  <c r="K74" i="29"/>
  <c r="K75" i="29"/>
  <c r="J77" i="29"/>
  <c r="I77" i="29"/>
  <c r="H70" i="29"/>
  <c r="H71" i="29"/>
  <c r="H72" i="29"/>
  <c r="H73" i="29"/>
  <c r="H74" i="29"/>
  <c r="H75" i="29"/>
  <c r="G77" i="29"/>
  <c r="F77" i="29"/>
  <c r="E77" i="29"/>
  <c r="D77" i="29"/>
  <c r="D100" i="29"/>
  <c r="E100" i="29"/>
  <c r="F100" i="29"/>
  <c r="G100" i="29"/>
  <c r="H93" i="29"/>
  <c r="H94" i="29"/>
  <c r="H95" i="29"/>
  <c r="H96" i="29"/>
  <c r="H97" i="29"/>
  <c r="H98" i="29"/>
  <c r="I100" i="29"/>
  <c r="J100" i="29"/>
  <c r="K93" i="29"/>
  <c r="K94" i="29"/>
  <c r="K95" i="29"/>
  <c r="K96" i="29"/>
  <c r="K97" i="29"/>
  <c r="K98" i="29"/>
  <c r="L100" i="29"/>
  <c r="M100" i="29"/>
  <c r="N93" i="29"/>
  <c r="N94" i="29"/>
  <c r="N95" i="29"/>
  <c r="N96" i="29"/>
  <c r="N97" i="29"/>
  <c r="N98" i="29"/>
  <c r="O100" i="29"/>
  <c r="R100" i="29"/>
  <c r="S100" i="29"/>
  <c r="T93" i="29"/>
  <c r="T94" i="29"/>
  <c r="T95" i="29"/>
  <c r="T96" i="29"/>
  <c r="T97" i="29"/>
  <c r="T98" i="29"/>
  <c r="U93" i="29"/>
  <c r="U94" i="29"/>
  <c r="U95" i="29"/>
  <c r="U96" i="29"/>
  <c r="U97" i="29"/>
  <c r="U98" i="29"/>
  <c r="V93" i="29"/>
  <c r="V94" i="29"/>
  <c r="V95" i="29"/>
  <c r="V96" i="29"/>
  <c r="V97" i="29"/>
  <c r="V98" i="29"/>
  <c r="X100" i="29"/>
  <c r="Y100" i="29"/>
  <c r="Z100" i="29"/>
  <c r="AA100" i="29"/>
  <c r="AB98" i="29"/>
  <c r="AC100" i="29"/>
  <c r="AD100" i="29"/>
  <c r="AE100" i="29"/>
  <c r="AF100" i="29"/>
  <c r="AG98" i="29"/>
  <c r="AH100" i="29"/>
  <c r="AI100" i="29"/>
  <c r="AJ100" i="29"/>
  <c r="AL98" i="29"/>
  <c r="AM100" i="29"/>
  <c r="AN100" i="29"/>
  <c r="AO100" i="29"/>
  <c r="AQ98" i="29"/>
  <c r="AR100" i="29"/>
  <c r="AS100" i="29"/>
  <c r="AT100" i="29"/>
  <c r="AV98" i="29"/>
  <c r="AW100" i="29"/>
  <c r="AX98" i="29"/>
  <c r="AX121" i="29"/>
  <c r="AW123" i="29"/>
  <c r="AV121" i="29"/>
  <c r="AT123" i="29"/>
  <c r="AS123" i="29"/>
  <c r="AR123" i="29"/>
  <c r="AQ121" i="29"/>
  <c r="AO123" i="29"/>
  <c r="AN123" i="29"/>
  <c r="AM123" i="29"/>
  <c r="AL121" i="29"/>
  <c r="AJ123" i="29"/>
  <c r="AI123" i="29"/>
  <c r="AH123" i="29"/>
  <c r="AG121" i="29"/>
  <c r="AF123" i="29"/>
  <c r="AE123" i="29"/>
  <c r="AD123" i="29"/>
  <c r="AC123" i="29"/>
  <c r="AB121" i="29"/>
  <c r="AA123" i="29"/>
  <c r="Z123" i="29"/>
  <c r="Y123" i="29"/>
  <c r="X123" i="29"/>
  <c r="V116" i="29"/>
  <c r="V117" i="29"/>
  <c r="V118" i="29"/>
  <c r="V119" i="29"/>
  <c r="V120" i="29"/>
  <c r="V121" i="29"/>
  <c r="U116" i="29"/>
  <c r="U117" i="29"/>
  <c r="U118" i="29"/>
  <c r="U119" i="29"/>
  <c r="U120" i="29"/>
  <c r="U121" i="29"/>
  <c r="T116" i="29"/>
  <c r="T117" i="29"/>
  <c r="T118" i="29"/>
  <c r="T119" i="29"/>
  <c r="T120" i="29"/>
  <c r="T121" i="29"/>
  <c r="S123" i="29"/>
  <c r="R123" i="29"/>
  <c r="O123" i="29"/>
  <c r="N116" i="29"/>
  <c r="N117" i="29"/>
  <c r="N118" i="29"/>
  <c r="N119" i="29"/>
  <c r="N120" i="29"/>
  <c r="N121" i="29"/>
  <c r="M123" i="29"/>
  <c r="L123" i="29"/>
  <c r="K116" i="29"/>
  <c r="K117" i="29"/>
  <c r="K118" i="29"/>
  <c r="K119" i="29"/>
  <c r="K120" i="29"/>
  <c r="K121" i="29"/>
  <c r="J123" i="29"/>
  <c r="I123" i="29"/>
  <c r="H116" i="29"/>
  <c r="H117" i="29"/>
  <c r="H118" i="29"/>
  <c r="H119" i="29"/>
  <c r="H120" i="29"/>
  <c r="H121" i="29"/>
  <c r="G123" i="29"/>
  <c r="F123" i="29"/>
  <c r="E123" i="29"/>
  <c r="D123" i="29"/>
  <c r="D146" i="29"/>
  <c r="E146" i="29"/>
  <c r="F146" i="29"/>
  <c r="G146" i="29"/>
  <c r="H139" i="29"/>
  <c r="H140" i="29"/>
  <c r="H141" i="29"/>
  <c r="H142" i="29"/>
  <c r="H143" i="29"/>
  <c r="H144" i="29"/>
  <c r="I146" i="29"/>
  <c r="J146" i="29"/>
  <c r="K139" i="29"/>
  <c r="K140" i="29"/>
  <c r="K141" i="29"/>
  <c r="K142" i="29"/>
  <c r="K143" i="29"/>
  <c r="K144" i="29"/>
  <c r="L146" i="29"/>
  <c r="M146" i="29"/>
  <c r="N139" i="29"/>
  <c r="N140" i="29"/>
  <c r="N141" i="29"/>
  <c r="N142" i="29"/>
  <c r="N143" i="29"/>
  <c r="N144" i="29"/>
  <c r="O146" i="29"/>
  <c r="R146" i="29"/>
  <c r="S146" i="29"/>
  <c r="T139" i="29"/>
  <c r="T140" i="29"/>
  <c r="T141" i="29"/>
  <c r="T142" i="29"/>
  <c r="T143" i="29"/>
  <c r="T144" i="29"/>
  <c r="U139" i="29"/>
  <c r="U140" i="29"/>
  <c r="U141" i="29"/>
  <c r="U142" i="29"/>
  <c r="U143" i="29"/>
  <c r="U144" i="29"/>
  <c r="V139" i="29"/>
  <c r="V140" i="29"/>
  <c r="V141" i="29"/>
  <c r="V142" i="29"/>
  <c r="V143" i="29"/>
  <c r="V144" i="29"/>
  <c r="X146" i="29"/>
  <c r="Y146" i="29"/>
  <c r="Z146" i="29"/>
  <c r="AA146" i="29"/>
  <c r="AB144" i="29"/>
  <c r="AC146" i="29"/>
  <c r="AD146" i="29"/>
  <c r="AE146" i="29"/>
  <c r="AF146" i="29"/>
  <c r="AG144" i="29"/>
  <c r="AH146" i="29"/>
  <c r="AI146" i="29"/>
  <c r="AJ146" i="29"/>
  <c r="AL144" i="29"/>
  <c r="AM146" i="29"/>
  <c r="AN146" i="29"/>
  <c r="AO146" i="29"/>
  <c r="AQ144" i="29"/>
  <c r="AR146" i="29"/>
  <c r="AS146" i="29"/>
  <c r="AT146" i="29"/>
  <c r="AV144" i="29"/>
  <c r="AW146" i="29"/>
  <c r="AX144" i="29"/>
  <c r="AX167" i="29"/>
  <c r="AW169" i="29"/>
  <c r="AV167" i="29"/>
  <c r="AT169" i="29"/>
  <c r="AS169" i="29"/>
  <c r="AR169" i="29"/>
  <c r="AQ167" i="29"/>
  <c r="AO169" i="29"/>
  <c r="AN169" i="29"/>
  <c r="AM169" i="29"/>
  <c r="AL167" i="29"/>
  <c r="AJ169" i="29"/>
  <c r="AI169" i="29"/>
  <c r="AH169" i="29"/>
  <c r="AG167" i="29"/>
  <c r="AF169" i="29"/>
  <c r="AE169" i="29"/>
  <c r="AD169" i="29"/>
  <c r="AC169" i="29"/>
  <c r="AB167" i="29"/>
  <c r="AA169" i="29"/>
  <c r="Z169" i="29"/>
  <c r="Y169" i="29"/>
  <c r="X169" i="29"/>
  <c r="V162" i="29"/>
  <c r="V163" i="29"/>
  <c r="V164" i="29"/>
  <c r="V165" i="29"/>
  <c r="V166" i="29"/>
  <c r="V167" i="29"/>
  <c r="U162" i="29"/>
  <c r="U163" i="29"/>
  <c r="U164" i="29"/>
  <c r="U165" i="29"/>
  <c r="U166" i="29"/>
  <c r="U167" i="29"/>
  <c r="T162" i="29"/>
  <c r="T163" i="29"/>
  <c r="T164" i="29"/>
  <c r="T165" i="29"/>
  <c r="T166" i="29"/>
  <c r="T167" i="29"/>
  <c r="S169" i="29"/>
  <c r="R169" i="29"/>
  <c r="O169" i="29"/>
  <c r="N162" i="29"/>
  <c r="N163" i="29"/>
  <c r="N164" i="29"/>
  <c r="N165" i="29"/>
  <c r="N166" i="29"/>
  <c r="N167" i="29"/>
  <c r="M169" i="29"/>
  <c r="L169" i="29"/>
  <c r="K162" i="29"/>
  <c r="K163" i="29"/>
  <c r="K164" i="29"/>
  <c r="K165" i="29"/>
  <c r="K166" i="29"/>
  <c r="K167" i="29"/>
  <c r="J169" i="29"/>
  <c r="I169" i="29"/>
  <c r="H162" i="29"/>
  <c r="H163" i="29"/>
  <c r="H164" i="29"/>
  <c r="H165" i="29"/>
  <c r="H166" i="29"/>
  <c r="H167" i="29"/>
  <c r="G169" i="29"/>
  <c r="F169" i="29"/>
  <c r="E169" i="29"/>
  <c r="D169" i="29"/>
  <c r="D54" i="5"/>
  <c r="E54" i="5"/>
  <c r="F54" i="5"/>
  <c r="G54" i="5"/>
  <c r="H47" i="5"/>
  <c r="H48" i="5"/>
  <c r="H49" i="5"/>
  <c r="H50" i="5"/>
  <c r="H51" i="5"/>
  <c r="H52" i="5"/>
  <c r="I54" i="5"/>
  <c r="J54" i="5"/>
  <c r="K47" i="5"/>
  <c r="K48" i="5"/>
  <c r="K49" i="5"/>
  <c r="K50" i="5"/>
  <c r="K51" i="5"/>
  <c r="K52" i="5"/>
  <c r="L54" i="5"/>
  <c r="M54" i="5"/>
  <c r="N47" i="5"/>
  <c r="N48" i="5"/>
  <c r="N49" i="5"/>
  <c r="N50" i="5"/>
  <c r="N51" i="5"/>
  <c r="N52" i="5"/>
  <c r="O54" i="5"/>
  <c r="R54" i="5"/>
  <c r="S54" i="5"/>
  <c r="T47" i="5"/>
  <c r="T48" i="5"/>
  <c r="T49" i="5"/>
  <c r="T50" i="5"/>
  <c r="T51" i="5"/>
  <c r="T52" i="5"/>
  <c r="U47" i="5"/>
  <c r="U48" i="5"/>
  <c r="U49" i="5"/>
  <c r="U50" i="5"/>
  <c r="U51" i="5"/>
  <c r="U52" i="5"/>
  <c r="V47" i="5"/>
  <c r="V48" i="5"/>
  <c r="V49" i="5"/>
  <c r="V50" i="5"/>
  <c r="V51" i="5"/>
  <c r="V52" i="5"/>
  <c r="X54" i="5"/>
  <c r="Y54" i="5"/>
  <c r="Z54" i="5"/>
  <c r="AA54" i="5"/>
  <c r="AB52" i="5"/>
  <c r="AC54" i="5"/>
  <c r="AD54" i="5"/>
  <c r="AE54" i="5"/>
  <c r="AF54" i="5"/>
  <c r="AG52" i="5"/>
  <c r="AH54" i="5"/>
  <c r="AI54" i="5"/>
  <c r="AJ54" i="5"/>
  <c r="AL52" i="5"/>
  <c r="AM54" i="5"/>
  <c r="AN54" i="5"/>
  <c r="AO54" i="5"/>
  <c r="AQ52" i="5"/>
  <c r="AR54" i="5"/>
  <c r="AS54" i="5"/>
  <c r="AT54" i="5"/>
  <c r="AV52" i="5"/>
  <c r="AW54" i="5"/>
  <c r="AX52" i="5"/>
  <c r="AX75" i="5"/>
  <c r="AW77" i="5"/>
  <c r="AV75" i="5"/>
  <c r="AT77" i="5"/>
  <c r="AS77" i="5"/>
  <c r="AR77" i="5"/>
  <c r="AQ75" i="5"/>
  <c r="AO77" i="5"/>
  <c r="AN77" i="5"/>
  <c r="AM77" i="5"/>
  <c r="AL75" i="5"/>
  <c r="AJ77" i="5"/>
  <c r="AI77" i="5"/>
  <c r="AH77" i="5"/>
  <c r="AG75" i="5"/>
  <c r="AF77" i="5"/>
  <c r="AE77" i="5"/>
  <c r="AD77" i="5"/>
  <c r="AC77" i="5"/>
  <c r="AB75" i="5"/>
  <c r="AA77" i="5"/>
  <c r="Z77" i="5"/>
  <c r="Y77" i="5"/>
  <c r="X77" i="5"/>
  <c r="V70" i="5"/>
  <c r="V71" i="5"/>
  <c r="V72" i="5"/>
  <c r="V73" i="5"/>
  <c r="V74" i="5"/>
  <c r="V75" i="5"/>
  <c r="U70" i="5"/>
  <c r="U71" i="5"/>
  <c r="U72" i="5"/>
  <c r="U73" i="5"/>
  <c r="U74" i="5"/>
  <c r="U75" i="5"/>
  <c r="T70" i="5"/>
  <c r="T71" i="5"/>
  <c r="T72" i="5"/>
  <c r="T73" i="5"/>
  <c r="T74" i="5"/>
  <c r="T75" i="5"/>
  <c r="S77" i="5"/>
  <c r="R77" i="5"/>
  <c r="O77" i="5"/>
  <c r="N70" i="5"/>
  <c r="N71" i="5"/>
  <c r="N72" i="5"/>
  <c r="N73" i="5"/>
  <c r="N74" i="5"/>
  <c r="N75" i="5"/>
  <c r="M77" i="5"/>
  <c r="L77" i="5"/>
  <c r="K70" i="5"/>
  <c r="K71" i="5"/>
  <c r="K72" i="5"/>
  <c r="K73" i="5"/>
  <c r="K74" i="5"/>
  <c r="K75" i="5"/>
  <c r="J77" i="5"/>
  <c r="I77" i="5"/>
  <c r="H70" i="5"/>
  <c r="H71" i="5"/>
  <c r="H72" i="5"/>
  <c r="H73" i="5"/>
  <c r="H74" i="5"/>
  <c r="H75" i="5"/>
  <c r="G77" i="5"/>
  <c r="F77" i="5"/>
  <c r="E77" i="5"/>
  <c r="D77" i="5"/>
  <c r="D100" i="5"/>
  <c r="E100" i="5"/>
  <c r="F100" i="5"/>
  <c r="G100" i="5"/>
  <c r="H93" i="5"/>
  <c r="H94" i="5"/>
  <c r="H95" i="5"/>
  <c r="H96" i="5"/>
  <c r="H97" i="5"/>
  <c r="H98" i="5"/>
  <c r="I100" i="5"/>
  <c r="J100" i="5"/>
  <c r="K93" i="5"/>
  <c r="K94" i="5"/>
  <c r="K95" i="5"/>
  <c r="K96" i="5"/>
  <c r="K97" i="5"/>
  <c r="K98" i="5"/>
  <c r="L100" i="5"/>
  <c r="M100" i="5"/>
  <c r="N93" i="5"/>
  <c r="N94" i="5"/>
  <c r="N95" i="5"/>
  <c r="N96" i="5"/>
  <c r="N97" i="5"/>
  <c r="N98" i="5"/>
  <c r="O100" i="5"/>
  <c r="R100" i="5"/>
  <c r="S100" i="5"/>
  <c r="T93" i="5"/>
  <c r="T94" i="5"/>
  <c r="T95" i="5"/>
  <c r="T96" i="5"/>
  <c r="T97" i="5"/>
  <c r="T98" i="5"/>
  <c r="U93" i="5"/>
  <c r="U94" i="5"/>
  <c r="U95" i="5"/>
  <c r="U96" i="5"/>
  <c r="U97" i="5"/>
  <c r="U98" i="5"/>
  <c r="V93" i="5"/>
  <c r="V94" i="5"/>
  <c r="V95" i="5"/>
  <c r="V96" i="5"/>
  <c r="V97" i="5"/>
  <c r="V98" i="5"/>
  <c r="X100" i="5"/>
  <c r="Y100" i="5"/>
  <c r="Z100" i="5"/>
  <c r="AA100" i="5"/>
  <c r="AB98" i="5"/>
  <c r="AC100" i="5"/>
  <c r="AD100" i="5"/>
  <c r="AE100" i="5"/>
  <c r="AF100" i="5"/>
  <c r="AG98" i="5"/>
  <c r="AH100" i="5"/>
  <c r="AI100" i="5"/>
  <c r="AJ100" i="5"/>
  <c r="AL98" i="5"/>
  <c r="AM100" i="5"/>
  <c r="AN100" i="5"/>
  <c r="AO100" i="5"/>
  <c r="AQ98" i="5"/>
  <c r="AR100" i="5"/>
  <c r="AS100" i="5"/>
  <c r="AT100" i="5"/>
  <c r="AV98" i="5"/>
  <c r="AW100" i="5"/>
  <c r="AX98" i="5"/>
  <c r="AW123" i="5"/>
  <c r="AX121" i="5"/>
  <c r="AV121" i="5"/>
  <c r="AT123" i="5"/>
  <c r="AS123" i="5"/>
  <c r="AR123" i="5"/>
  <c r="AQ121" i="5"/>
  <c r="AO123" i="5"/>
  <c r="AN123" i="5"/>
  <c r="AM123" i="5"/>
  <c r="AL121" i="5"/>
  <c r="AJ123" i="5"/>
  <c r="AI123" i="5"/>
  <c r="AH123" i="5"/>
  <c r="AG121" i="5"/>
  <c r="AE123" i="5"/>
  <c r="AD123" i="5"/>
  <c r="AC123" i="5"/>
  <c r="AB121" i="5"/>
  <c r="Z123" i="5"/>
  <c r="Y123" i="5"/>
  <c r="X123" i="5"/>
  <c r="V116" i="5"/>
  <c r="V117" i="5"/>
  <c r="V118" i="5"/>
  <c r="V119" i="5"/>
  <c r="V120" i="5"/>
  <c r="V121" i="5"/>
  <c r="U116" i="5"/>
  <c r="U117" i="5"/>
  <c r="U118" i="5"/>
  <c r="U119" i="5"/>
  <c r="U120" i="5"/>
  <c r="U121" i="5"/>
  <c r="T116" i="5"/>
  <c r="T117" i="5"/>
  <c r="T118" i="5"/>
  <c r="T119" i="5"/>
  <c r="T120" i="5"/>
  <c r="T121" i="5"/>
  <c r="R123" i="5"/>
  <c r="O123" i="5"/>
  <c r="N116" i="5"/>
  <c r="N117" i="5"/>
  <c r="N118" i="5"/>
  <c r="N119" i="5"/>
  <c r="N120" i="5"/>
  <c r="N121" i="5"/>
  <c r="M123" i="5"/>
  <c r="L123" i="5"/>
  <c r="K116" i="5"/>
  <c r="K117" i="5"/>
  <c r="K118" i="5"/>
  <c r="K119" i="5"/>
  <c r="K120" i="5"/>
  <c r="K121" i="5"/>
  <c r="J123" i="5"/>
  <c r="I123" i="5"/>
  <c r="H116" i="5"/>
  <c r="H117" i="5"/>
  <c r="H118" i="5"/>
  <c r="H119" i="5"/>
  <c r="H120" i="5"/>
  <c r="H121" i="5"/>
  <c r="G123" i="5"/>
  <c r="F123" i="5"/>
  <c r="E123" i="5"/>
  <c r="D123" i="5"/>
  <c r="D146" i="5"/>
  <c r="E146" i="5"/>
  <c r="F146" i="5"/>
  <c r="G146" i="5"/>
  <c r="H139" i="5"/>
  <c r="H140" i="5"/>
  <c r="H141" i="5"/>
  <c r="H142" i="5"/>
  <c r="H143" i="5"/>
  <c r="H144" i="5"/>
  <c r="I146" i="5"/>
  <c r="J146" i="5"/>
  <c r="K139" i="5"/>
  <c r="K140" i="5"/>
  <c r="K141" i="5"/>
  <c r="K142" i="5"/>
  <c r="K143" i="5"/>
  <c r="K144" i="5"/>
  <c r="L146" i="5"/>
  <c r="M146" i="5"/>
  <c r="N139" i="5"/>
  <c r="N140" i="5"/>
  <c r="N141" i="5"/>
  <c r="N142" i="5"/>
  <c r="N143" i="5"/>
  <c r="N144" i="5"/>
  <c r="O146" i="5"/>
  <c r="R146" i="5"/>
  <c r="S146" i="5"/>
  <c r="T139" i="5"/>
  <c r="T140" i="5"/>
  <c r="T141" i="5"/>
  <c r="T142" i="5"/>
  <c r="T143" i="5"/>
  <c r="T144" i="5"/>
  <c r="U139" i="5"/>
  <c r="U140" i="5"/>
  <c r="U141" i="5"/>
  <c r="U142" i="5"/>
  <c r="U143" i="5"/>
  <c r="U144" i="5"/>
  <c r="V139" i="5"/>
  <c r="V140" i="5"/>
  <c r="V141" i="5"/>
  <c r="V142" i="5"/>
  <c r="V143" i="5"/>
  <c r="V144" i="5"/>
  <c r="X146" i="5"/>
  <c r="Y146" i="5"/>
  <c r="Z146" i="5"/>
  <c r="AA146" i="5"/>
  <c r="AB144" i="5"/>
  <c r="AC146" i="5"/>
  <c r="AD146" i="5"/>
  <c r="AE146" i="5"/>
  <c r="AF146" i="5"/>
  <c r="AG144" i="5"/>
  <c r="AH146" i="5"/>
  <c r="AI146" i="5"/>
  <c r="AJ146" i="5"/>
  <c r="AL144" i="5"/>
  <c r="AM146" i="5"/>
  <c r="AN146" i="5"/>
  <c r="AO146" i="5"/>
  <c r="AQ144" i="5"/>
  <c r="AR146" i="5"/>
  <c r="AS146" i="5"/>
  <c r="AT146" i="5"/>
  <c r="AV144" i="5"/>
  <c r="AW146" i="5"/>
  <c r="AX144" i="5"/>
  <c r="AW169" i="5"/>
  <c r="AX167" i="5"/>
  <c r="AV167" i="5"/>
  <c r="AT169" i="5"/>
  <c r="AS169" i="5"/>
  <c r="AR169" i="5"/>
  <c r="AQ167" i="5"/>
  <c r="AO169" i="5"/>
  <c r="AN169" i="5"/>
  <c r="AM169" i="5"/>
  <c r="AL167" i="5"/>
  <c r="AJ169" i="5"/>
  <c r="AI169" i="5"/>
  <c r="AH169" i="5"/>
  <c r="AG167" i="5"/>
  <c r="AF169" i="5"/>
  <c r="AE169" i="5"/>
  <c r="AD169" i="5"/>
  <c r="AC169" i="5"/>
  <c r="AB167" i="5"/>
  <c r="AA169" i="5"/>
  <c r="Z169" i="5"/>
  <c r="Y169" i="5"/>
  <c r="X169" i="5"/>
  <c r="V162" i="5"/>
  <c r="V163" i="5"/>
  <c r="V164" i="5"/>
  <c r="V165" i="5"/>
  <c r="V166" i="5"/>
  <c r="V167" i="5"/>
  <c r="U162" i="5"/>
  <c r="U163" i="5"/>
  <c r="U164" i="5"/>
  <c r="U165" i="5"/>
  <c r="U166" i="5"/>
  <c r="U167" i="5"/>
  <c r="T162" i="5"/>
  <c r="T163" i="5"/>
  <c r="T164" i="5"/>
  <c r="T165" i="5"/>
  <c r="T166" i="5"/>
  <c r="T167" i="5"/>
  <c r="S169" i="5"/>
  <c r="R169" i="5"/>
  <c r="O169" i="5"/>
  <c r="N162" i="5"/>
  <c r="N163" i="5"/>
  <c r="N164" i="5"/>
  <c r="N165" i="5"/>
  <c r="N166" i="5"/>
  <c r="N167" i="5"/>
  <c r="M169" i="5"/>
  <c r="L169" i="5"/>
  <c r="K162" i="5"/>
  <c r="K163" i="5"/>
  <c r="K164" i="5"/>
  <c r="K165" i="5"/>
  <c r="K166" i="5"/>
  <c r="K167" i="5"/>
  <c r="J169" i="5"/>
  <c r="I169" i="5"/>
  <c r="H162" i="5"/>
  <c r="H163" i="5"/>
  <c r="H164" i="5"/>
  <c r="H165" i="5"/>
  <c r="H166" i="5"/>
  <c r="H167" i="5"/>
  <c r="G169" i="5"/>
  <c r="F169" i="5"/>
  <c r="E169" i="5"/>
  <c r="D169" i="5"/>
  <c r="U30" i="4"/>
  <c r="N30" i="4"/>
  <c r="G30" i="4"/>
  <c r="F30" i="4"/>
  <c r="E30" i="4"/>
  <c r="D30" i="4"/>
  <c r="H23" i="4"/>
  <c r="H24" i="4"/>
  <c r="H25" i="4"/>
  <c r="H26" i="4"/>
  <c r="H27" i="4"/>
  <c r="H28" i="4"/>
  <c r="I30" i="4"/>
  <c r="J30" i="4"/>
  <c r="K23" i="4"/>
  <c r="K24" i="4"/>
  <c r="K25" i="4"/>
  <c r="K26" i="4"/>
  <c r="K27" i="4"/>
  <c r="K28" i="4"/>
  <c r="L30" i="4"/>
  <c r="M30" i="4"/>
  <c r="N23" i="4"/>
  <c r="N24" i="4"/>
  <c r="N25" i="4"/>
  <c r="N26" i="4"/>
  <c r="N27" i="4"/>
  <c r="N28" i="4"/>
  <c r="O30" i="4"/>
  <c r="R30" i="4"/>
  <c r="S23" i="4"/>
  <c r="S24" i="4"/>
  <c r="T24" i="4" s="1"/>
  <c r="S25" i="4"/>
  <c r="Z25" i="4" s="1"/>
  <c r="S26" i="4"/>
  <c r="S27" i="4"/>
  <c r="S28" i="4"/>
  <c r="T23" i="4"/>
  <c r="T25" i="4"/>
  <c r="T26" i="4"/>
  <c r="T27" i="4"/>
  <c r="T28" i="4"/>
  <c r="U23" i="4"/>
  <c r="U24" i="4"/>
  <c r="U25" i="4"/>
  <c r="U26" i="4"/>
  <c r="U27" i="4"/>
  <c r="U28" i="4"/>
  <c r="V23" i="4"/>
  <c r="V25" i="4"/>
  <c r="V26" i="4"/>
  <c r="V27" i="4"/>
  <c r="V28" i="4"/>
  <c r="X30" i="4"/>
  <c r="Y30" i="4"/>
  <c r="Z23" i="4"/>
  <c r="Z24" i="4"/>
  <c r="Z26" i="4"/>
  <c r="Z27" i="4"/>
  <c r="Z28" i="4"/>
  <c r="AA30" i="4"/>
  <c r="AC24" i="4"/>
  <c r="AC25" i="4"/>
  <c r="AC26" i="4"/>
  <c r="AC27" i="4"/>
  <c r="AC28" i="4"/>
  <c r="AD30" i="4"/>
  <c r="AF24" i="4"/>
  <c r="AF25" i="4"/>
  <c r="AF26" i="4"/>
  <c r="AF27" i="4"/>
  <c r="AF28" i="4"/>
  <c r="AG30" i="4"/>
  <c r="AI24" i="4"/>
  <c r="AI25" i="4"/>
  <c r="AI26" i="4"/>
  <c r="AI27" i="4"/>
  <c r="AI28" i="4"/>
  <c r="AJ30" i="4"/>
  <c r="AL24" i="4"/>
  <c r="AL25" i="4"/>
  <c r="AL26" i="4"/>
  <c r="AL27" i="4"/>
  <c r="AL28" i="4"/>
  <c r="AN24" i="4"/>
  <c r="AN25" i="4"/>
  <c r="AN26" i="4"/>
  <c r="AN27" i="4"/>
  <c r="AN28" i="4"/>
  <c r="AN48" i="4"/>
  <c r="AN49" i="4"/>
  <c r="AN50" i="4"/>
  <c r="AN51" i="4"/>
  <c r="AN52" i="4"/>
  <c r="AM54" i="4"/>
  <c r="AL48" i="4"/>
  <c r="AL49" i="4"/>
  <c r="AL50" i="4"/>
  <c r="AL51" i="4"/>
  <c r="AL52" i="4"/>
  <c r="AJ54" i="4"/>
  <c r="AI48" i="4"/>
  <c r="AI49" i="4"/>
  <c r="AI50" i="4"/>
  <c r="AI51" i="4"/>
  <c r="AI52" i="4"/>
  <c r="AG54" i="4"/>
  <c r="AF48" i="4"/>
  <c r="AF49" i="4"/>
  <c r="AF50" i="4"/>
  <c r="AF51" i="4"/>
  <c r="AF52" i="4"/>
  <c r="AD54" i="4"/>
  <c r="AC48" i="4"/>
  <c r="AC49" i="4"/>
  <c r="AC50" i="4"/>
  <c r="AC51" i="4"/>
  <c r="AC52" i="4"/>
  <c r="AA54" i="4"/>
  <c r="Z47" i="4"/>
  <c r="Z48" i="4"/>
  <c r="Z49" i="4"/>
  <c r="Z50" i="4"/>
  <c r="Z51" i="4"/>
  <c r="Z52" i="4"/>
  <c r="Y54" i="4"/>
  <c r="X54" i="4"/>
  <c r="V47" i="4"/>
  <c r="V48" i="4"/>
  <c r="V49" i="4"/>
  <c r="V50" i="4"/>
  <c r="V51" i="4"/>
  <c r="V52" i="4"/>
  <c r="U47" i="4"/>
  <c r="U48" i="4"/>
  <c r="U49" i="4"/>
  <c r="U50" i="4"/>
  <c r="U51" i="4"/>
  <c r="U52" i="4"/>
  <c r="T47" i="4"/>
  <c r="T48" i="4"/>
  <c r="T49" i="4"/>
  <c r="T50" i="4"/>
  <c r="T51" i="4"/>
  <c r="T52" i="4"/>
  <c r="S47" i="4"/>
  <c r="S48" i="4"/>
  <c r="S49" i="4"/>
  <c r="S50" i="4"/>
  <c r="S51" i="4"/>
  <c r="S52" i="4"/>
  <c r="R54" i="4"/>
  <c r="O54" i="4"/>
  <c r="N47" i="4"/>
  <c r="N48" i="4"/>
  <c r="N49" i="4"/>
  <c r="N50" i="4"/>
  <c r="N51" i="4"/>
  <c r="N52" i="4"/>
  <c r="M54" i="4"/>
  <c r="L54" i="4"/>
  <c r="K47" i="4"/>
  <c r="K48" i="4"/>
  <c r="K49" i="4"/>
  <c r="K50" i="4"/>
  <c r="K51" i="4"/>
  <c r="K52" i="4"/>
  <c r="J54" i="4"/>
  <c r="I54" i="4"/>
  <c r="H47" i="4"/>
  <c r="H48" i="4"/>
  <c r="H49" i="4"/>
  <c r="H50" i="4"/>
  <c r="H51" i="4"/>
  <c r="H52" i="4"/>
  <c r="G54" i="4"/>
  <c r="F54" i="4"/>
  <c r="E54" i="4"/>
  <c r="D54" i="4"/>
  <c r="D77" i="4"/>
  <c r="E77" i="4"/>
  <c r="F77" i="4"/>
  <c r="G77" i="4"/>
  <c r="H70" i="4"/>
  <c r="H71" i="4"/>
  <c r="H72" i="4"/>
  <c r="H73" i="4"/>
  <c r="H74" i="4"/>
  <c r="H75" i="4"/>
  <c r="I77" i="4"/>
  <c r="J77" i="4"/>
  <c r="K70" i="4"/>
  <c r="K71" i="4"/>
  <c r="K72" i="4"/>
  <c r="K73" i="4"/>
  <c r="K74" i="4"/>
  <c r="K75" i="4"/>
  <c r="L77" i="4"/>
  <c r="M77" i="4"/>
  <c r="N70" i="4"/>
  <c r="N71" i="4"/>
  <c r="N72" i="4"/>
  <c r="N73" i="4"/>
  <c r="N74" i="4"/>
  <c r="N75" i="4"/>
  <c r="O77" i="4"/>
  <c r="R77" i="4"/>
  <c r="S70" i="4"/>
  <c r="S71" i="4"/>
  <c r="S72" i="4"/>
  <c r="Z72" i="4" s="1"/>
  <c r="S73" i="4"/>
  <c r="S74" i="4"/>
  <c r="S75" i="4"/>
  <c r="Z75" i="4" s="1"/>
  <c r="T70" i="4"/>
  <c r="T71" i="4"/>
  <c r="T72" i="4"/>
  <c r="T73" i="4"/>
  <c r="T74" i="4"/>
  <c r="T75" i="4"/>
  <c r="U70" i="4"/>
  <c r="U71" i="4"/>
  <c r="U72" i="4"/>
  <c r="U73" i="4"/>
  <c r="U74" i="4"/>
  <c r="U75" i="4"/>
  <c r="V70" i="4"/>
  <c r="V71" i="4"/>
  <c r="V72" i="4"/>
  <c r="V73" i="4"/>
  <c r="V74" i="4"/>
  <c r="V75" i="4"/>
  <c r="X77" i="4"/>
  <c r="Y77" i="4"/>
  <c r="Z70" i="4"/>
  <c r="Z71" i="4"/>
  <c r="Z73" i="4"/>
  <c r="Z74" i="4"/>
  <c r="AA77" i="4"/>
  <c r="AB77" i="4"/>
  <c r="AC70" i="4"/>
  <c r="AC71" i="4"/>
  <c r="AC72" i="4"/>
  <c r="AC73" i="4"/>
  <c r="AC74" i="4"/>
  <c r="AC75" i="4"/>
  <c r="AD77" i="4"/>
  <c r="AE77" i="4"/>
  <c r="AF70" i="4"/>
  <c r="AF71" i="4"/>
  <c r="AF72" i="4"/>
  <c r="AF73" i="4"/>
  <c r="AF74" i="4"/>
  <c r="AF75" i="4"/>
  <c r="AG77" i="4"/>
  <c r="AH77" i="4"/>
  <c r="AI70" i="4"/>
  <c r="AI71" i="4"/>
  <c r="AI72" i="4"/>
  <c r="AI73" i="4"/>
  <c r="AI74" i="4"/>
  <c r="AI75" i="4"/>
  <c r="AJ77" i="4"/>
  <c r="AL70" i="4"/>
  <c r="AL71" i="4"/>
  <c r="AL72" i="4"/>
  <c r="AL74" i="4"/>
  <c r="AL75" i="4"/>
  <c r="AM77" i="4"/>
  <c r="AN70" i="4"/>
  <c r="AN71" i="4"/>
  <c r="AN72" i="4"/>
  <c r="AN75" i="4"/>
  <c r="AN93" i="4"/>
  <c r="AN94" i="4"/>
  <c r="AN95" i="4"/>
  <c r="AN96" i="4"/>
  <c r="AN98" i="4"/>
  <c r="AM100" i="4"/>
  <c r="AL93" i="4"/>
  <c r="AL94" i="4"/>
  <c r="AL95" i="4"/>
  <c r="AL96" i="4"/>
  <c r="AL98" i="4"/>
  <c r="AJ100" i="4"/>
  <c r="AI93" i="4"/>
  <c r="AI94" i="4"/>
  <c r="AI95" i="4"/>
  <c r="AI96" i="4"/>
  <c r="AI97" i="4"/>
  <c r="AI98" i="4"/>
  <c r="AH100" i="4"/>
  <c r="AG100" i="4"/>
  <c r="AF93" i="4"/>
  <c r="AF94" i="4"/>
  <c r="AF95" i="4"/>
  <c r="AF96" i="4"/>
  <c r="AF97" i="4"/>
  <c r="AF98" i="4"/>
  <c r="AE100" i="4"/>
  <c r="AD100" i="4"/>
  <c r="AC93" i="4"/>
  <c r="AC94" i="4"/>
  <c r="AC95" i="4"/>
  <c r="AC96" i="4"/>
  <c r="AC97" i="4"/>
  <c r="AC98" i="4"/>
  <c r="AB100" i="4"/>
  <c r="AA100" i="4"/>
  <c r="Z93" i="4"/>
  <c r="Z94" i="4"/>
  <c r="Z95" i="4"/>
  <c r="Z96" i="4"/>
  <c r="Z97" i="4"/>
  <c r="Z98" i="4"/>
  <c r="Y100" i="4"/>
  <c r="X100" i="4"/>
  <c r="V93" i="4"/>
  <c r="V94" i="4"/>
  <c r="V95" i="4"/>
  <c r="V96" i="4"/>
  <c r="V97" i="4"/>
  <c r="V98" i="4"/>
  <c r="U93" i="4"/>
  <c r="U94" i="4"/>
  <c r="U95" i="4"/>
  <c r="U96" i="4"/>
  <c r="U97" i="4"/>
  <c r="U98" i="4"/>
  <c r="T93" i="4"/>
  <c r="T94" i="4"/>
  <c r="T95" i="4"/>
  <c r="T96" i="4"/>
  <c r="T97" i="4"/>
  <c r="T98" i="4"/>
  <c r="S93" i="4"/>
  <c r="S94" i="4"/>
  <c r="S95" i="4"/>
  <c r="S96" i="4"/>
  <c r="S97" i="4"/>
  <c r="S98" i="4"/>
  <c r="R100" i="4"/>
  <c r="O100" i="4"/>
  <c r="N93" i="4"/>
  <c r="N94" i="4"/>
  <c r="N95" i="4"/>
  <c r="N96" i="4"/>
  <c r="N97" i="4"/>
  <c r="N98" i="4"/>
  <c r="M100" i="4"/>
  <c r="L100" i="4"/>
  <c r="K93" i="4"/>
  <c r="K94" i="4"/>
  <c r="K95" i="4"/>
  <c r="K96" i="4"/>
  <c r="K97" i="4"/>
  <c r="K98" i="4"/>
  <c r="J100" i="4"/>
  <c r="I100" i="4"/>
  <c r="H93" i="4"/>
  <c r="H94" i="4"/>
  <c r="H95" i="4"/>
  <c r="H96" i="4"/>
  <c r="H97" i="4"/>
  <c r="H98" i="4"/>
  <c r="G100" i="4"/>
  <c r="F100" i="4"/>
  <c r="E100" i="4"/>
  <c r="D100" i="4"/>
  <c r="D123" i="4"/>
  <c r="E123" i="4"/>
  <c r="F123" i="4"/>
  <c r="G123" i="4"/>
  <c r="H116" i="4"/>
  <c r="H117" i="4"/>
  <c r="H118" i="4"/>
  <c r="H119" i="4"/>
  <c r="H120" i="4"/>
  <c r="H121" i="4"/>
  <c r="I123" i="4"/>
  <c r="J123" i="4"/>
  <c r="K116" i="4"/>
  <c r="K117" i="4"/>
  <c r="K118" i="4"/>
  <c r="K119" i="4"/>
  <c r="K120" i="4"/>
  <c r="K121" i="4"/>
  <c r="L123" i="4"/>
  <c r="M123" i="4"/>
  <c r="N116" i="4"/>
  <c r="N117" i="4"/>
  <c r="N118" i="4"/>
  <c r="N119" i="4"/>
  <c r="N120" i="4"/>
  <c r="N121" i="4"/>
  <c r="O123" i="4"/>
  <c r="R123" i="4"/>
  <c r="S116" i="4"/>
  <c r="Z116" i="4" s="1"/>
  <c r="S117" i="4"/>
  <c r="S118" i="4"/>
  <c r="S119" i="4"/>
  <c r="S120" i="4"/>
  <c r="Z120" i="4" s="1"/>
  <c r="S121" i="4"/>
  <c r="Z121" i="4" s="1"/>
  <c r="T116" i="4"/>
  <c r="T117" i="4"/>
  <c r="T118" i="4"/>
  <c r="T119" i="4"/>
  <c r="T120" i="4"/>
  <c r="U116" i="4"/>
  <c r="U117" i="4"/>
  <c r="U118" i="4"/>
  <c r="U119" i="4"/>
  <c r="U120" i="4"/>
  <c r="U121" i="4"/>
  <c r="V116" i="4"/>
  <c r="V117" i="4"/>
  <c r="V118" i="4"/>
  <c r="V119" i="4"/>
  <c r="V121" i="4"/>
  <c r="X123" i="4"/>
  <c r="Y123" i="4"/>
  <c r="Z117" i="4"/>
  <c r="Z118" i="4"/>
  <c r="Z119" i="4"/>
  <c r="AA123" i="4"/>
  <c r="AB123" i="4"/>
  <c r="AC116" i="4"/>
  <c r="AC117" i="4"/>
  <c r="AC118" i="4"/>
  <c r="AC119" i="4"/>
  <c r="AC120" i="4"/>
  <c r="AC121" i="4"/>
  <c r="AD123" i="4"/>
  <c r="AE123" i="4"/>
  <c r="AF116" i="4"/>
  <c r="AF117" i="4"/>
  <c r="AF118" i="4"/>
  <c r="AF119" i="4"/>
  <c r="AF120" i="4"/>
  <c r="AF121" i="4"/>
  <c r="AG123" i="4"/>
  <c r="AH123" i="4"/>
  <c r="AI116" i="4"/>
  <c r="AI117" i="4"/>
  <c r="AI118" i="4"/>
  <c r="AI119" i="4"/>
  <c r="AI120" i="4"/>
  <c r="AI121" i="4"/>
  <c r="AJ123" i="4"/>
  <c r="AK123" i="4"/>
  <c r="AL116" i="4"/>
  <c r="AL117" i="4"/>
  <c r="AL118" i="4"/>
  <c r="AL119" i="4"/>
  <c r="AL120" i="4"/>
  <c r="AL121" i="4"/>
  <c r="AM123" i="4"/>
  <c r="AN116" i="4"/>
  <c r="AN117" i="4"/>
  <c r="AN118" i="4"/>
  <c r="AN119" i="4"/>
  <c r="AN120" i="4"/>
  <c r="AN121" i="4"/>
  <c r="AN139" i="4"/>
  <c r="AN140" i="4"/>
  <c r="AN141" i="4"/>
  <c r="AN142" i="4"/>
  <c r="AN143" i="4"/>
  <c r="AM146" i="4"/>
  <c r="AL139" i="4"/>
  <c r="AL140" i="4"/>
  <c r="AL141" i="4"/>
  <c r="AL142" i="4"/>
  <c r="AL143" i="4"/>
  <c r="AK146" i="4"/>
  <c r="AJ146" i="4"/>
  <c r="AI139" i="4"/>
  <c r="AI140" i="4"/>
  <c r="AI141" i="4"/>
  <c r="AI142" i="4"/>
  <c r="AI143" i="4"/>
  <c r="AH146" i="4"/>
  <c r="AG146" i="4"/>
  <c r="AF139" i="4"/>
  <c r="AF140" i="4"/>
  <c r="AF141" i="4"/>
  <c r="AF142" i="4"/>
  <c r="AF143" i="4"/>
  <c r="AE146" i="4"/>
  <c r="AD146" i="4"/>
  <c r="AC139" i="4"/>
  <c r="AC140" i="4"/>
  <c r="AC141" i="4"/>
  <c r="AC142" i="4"/>
  <c r="AC143" i="4"/>
  <c r="AB146" i="4"/>
  <c r="AA146" i="4"/>
  <c r="Z139" i="4"/>
  <c r="Z140" i="4"/>
  <c r="Z141" i="4"/>
  <c r="Z142" i="4"/>
  <c r="Z143" i="4"/>
  <c r="Y146" i="4"/>
  <c r="X146" i="4"/>
  <c r="V139" i="4"/>
  <c r="V140" i="4"/>
  <c r="V141" i="4"/>
  <c r="V142" i="4"/>
  <c r="V143" i="4"/>
  <c r="U139" i="4"/>
  <c r="U140" i="4"/>
  <c r="U141" i="4"/>
  <c r="U142" i="4"/>
  <c r="U143" i="4"/>
  <c r="T139" i="4"/>
  <c r="T140" i="4"/>
  <c r="T141" i="4"/>
  <c r="T142" i="4"/>
  <c r="T143" i="4"/>
  <c r="S139" i="4"/>
  <c r="S140" i="4"/>
  <c r="S141" i="4"/>
  <c r="S142" i="4"/>
  <c r="S143" i="4"/>
  <c r="R146" i="4"/>
  <c r="O146" i="4"/>
  <c r="N139" i="4"/>
  <c r="N140" i="4"/>
  <c r="N141" i="4"/>
  <c r="N142" i="4"/>
  <c r="N143" i="4"/>
  <c r="M146" i="4"/>
  <c r="L146" i="4"/>
  <c r="K139" i="4"/>
  <c r="K140" i="4"/>
  <c r="K141" i="4"/>
  <c r="K142" i="4"/>
  <c r="K143" i="4"/>
  <c r="J146" i="4"/>
  <c r="I146" i="4"/>
  <c r="H139" i="4"/>
  <c r="H140" i="4"/>
  <c r="H141" i="4"/>
  <c r="H142" i="4"/>
  <c r="H143" i="4"/>
  <c r="G146" i="4"/>
  <c r="F146" i="4"/>
  <c r="E146" i="4"/>
  <c r="D146" i="4"/>
  <c r="D169" i="4"/>
  <c r="E169" i="4"/>
  <c r="F169" i="4"/>
  <c r="G169" i="4"/>
  <c r="H162" i="4"/>
  <c r="H163" i="4"/>
  <c r="H164" i="4"/>
  <c r="H165" i="4"/>
  <c r="H166" i="4"/>
  <c r="H167" i="4"/>
  <c r="I169" i="4"/>
  <c r="J169" i="4"/>
  <c r="K162" i="4"/>
  <c r="K163" i="4"/>
  <c r="K164" i="4"/>
  <c r="K165" i="4"/>
  <c r="K166" i="4"/>
  <c r="K167" i="4"/>
  <c r="L169" i="4"/>
  <c r="M169" i="4"/>
  <c r="N162" i="4"/>
  <c r="N163" i="4"/>
  <c r="N164" i="4"/>
  <c r="N165" i="4"/>
  <c r="N166" i="4"/>
  <c r="N167" i="4"/>
  <c r="R169" i="4"/>
  <c r="O169" i="4"/>
  <c r="S162" i="4"/>
  <c r="S163" i="4"/>
  <c r="S164" i="4"/>
  <c r="Z164" i="4" s="1"/>
  <c r="S165" i="4"/>
  <c r="Z165" i="4" s="1"/>
  <c r="S166" i="4"/>
  <c r="S167" i="4"/>
  <c r="T162" i="4"/>
  <c r="T163" i="4"/>
  <c r="T164" i="4"/>
  <c r="T165" i="4"/>
  <c r="T166" i="4"/>
  <c r="T167" i="4"/>
  <c r="U162" i="4"/>
  <c r="U163" i="4"/>
  <c r="U164" i="4"/>
  <c r="U165" i="4"/>
  <c r="U166" i="4"/>
  <c r="U167" i="4"/>
  <c r="V162" i="4"/>
  <c r="V163" i="4"/>
  <c r="V164" i="4"/>
  <c r="V165" i="4"/>
  <c r="V166" i="4"/>
  <c r="V167" i="4"/>
  <c r="X169" i="4"/>
  <c r="Y169" i="4"/>
  <c r="Z162" i="4"/>
  <c r="Z163" i="4"/>
  <c r="Z166" i="4"/>
  <c r="Z167" i="4"/>
  <c r="AA169" i="4"/>
  <c r="AB169" i="4"/>
  <c r="AC162" i="4"/>
  <c r="AC163" i="4"/>
  <c r="AC164" i="4"/>
  <c r="AC165" i="4"/>
  <c r="AC166" i="4"/>
  <c r="AC167" i="4"/>
  <c r="AD169" i="4"/>
  <c r="AE169" i="4"/>
  <c r="AF162" i="4"/>
  <c r="AF163" i="4"/>
  <c r="AF164" i="4"/>
  <c r="AF165" i="4"/>
  <c r="AF166" i="4"/>
  <c r="AF167" i="4"/>
  <c r="AG169" i="4"/>
  <c r="AH169" i="4"/>
  <c r="AI162" i="4"/>
  <c r="AI163" i="4"/>
  <c r="AI164" i="4"/>
  <c r="AI165" i="4"/>
  <c r="AI166" i="4"/>
  <c r="AI167" i="4"/>
  <c r="AJ169" i="4"/>
  <c r="AK169" i="4"/>
  <c r="AL162" i="4"/>
  <c r="AL163" i="4"/>
  <c r="AL164" i="4"/>
  <c r="AL165" i="4"/>
  <c r="AL166" i="4"/>
  <c r="AL167" i="4"/>
  <c r="AM169" i="4"/>
  <c r="AN162" i="4"/>
  <c r="AN163" i="4"/>
  <c r="AN164" i="4"/>
  <c r="AN165" i="4"/>
  <c r="AN166" i="4"/>
  <c r="AN167" i="4"/>
  <c r="AN185" i="4"/>
  <c r="AN186" i="4"/>
  <c r="AN187" i="4"/>
  <c r="AN188" i="4"/>
  <c r="AN189" i="4"/>
  <c r="AN190" i="4"/>
  <c r="AM192" i="4"/>
  <c r="AL185" i="4"/>
  <c r="AL186" i="4"/>
  <c r="AL187" i="4"/>
  <c r="AL188" i="4"/>
  <c r="AL189" i="4"/>
  <c r="AL190" i="4"/>
  <c r="AK192" i="4"/>
  <c r="AJ192" i="4"/>
  <c r="AI185" i="4"/>
  <c r="AI186" i="4"/>
  <c r="AI187" i="4"/>
  <c r="AI188" i="4"/>
  <c r="AI189" i="4"/>
  <c r="AI190" i="4"/>
  <c r="AH192" i="4"/>
  <c r="AG192" i="4"/>
  <c r="AF185" i="4"/>
  <c r="AF186" i="4"/>
  <c r="AF187" i="4"/>
  <c r="AF188" i="4"/>
  <c r="AF189" i="4"/>
  <c r="AF190" i="4"/>
  <c r="AE192" i="4"/>
  <c r="AD192" i="4"/>
  <c r="AC185" i="4"/>
  <c r="AC186" i="4"/>
  <c r="AC187" i="4"/>
  <c r="AC188" i="4"/>
  <c r="AC189" i="4"/>
  <c r="AC190" i="4"/>
  <c r="AB192" i="4"/>
  <c r="AA192" i="4"/>
  <c r="Z185" i="4"/>
  <c r="Z186" i="4"/>
  <c r="Z187" i="4"/>
  <c r="Z188" i="4"/>
  <c r="Z189" i="4"/>
  <c r="Z190" i="4"/>
  <c r="Y192" i="4"/>
  <c r="X192" i="4"/>
  <c r="V185" i="4"/>
  <c r="V186" i="4"/>
  <c r="V187" i="4"/>
  <c r="V188" i="4"/>
  <c r="V189" i="4"/>
  <c r="V190" i="4"/>
  <c r="U185" i="4"/>
  <c r="U186" i="4"/>
  <c r="U187" i="4"/>
  <c r="U188" i="4"/>
  <c r="U189" i="4"/>
  <c r="U190" i="4"/>
  <c r="T185" i="4"/>
  <c r="T186" i="4"/>
  <c r="T187" i="4"/>
  <c r="T188" i="4"/>
  <c r="T189" i="4"/>
  <c r="T190" i="4"/>
  <c r="S185" i="4"/>
  <c r="S186" i="4"/>
  <c r="S187" i="4"/>
  <c r="S188" i="4"/>
  <c r="S189" i="4"/>
  <c r="S190" i="4"/>
  <c r="R192" i="4"/>
  <c r="O192" i="4"/>
  <c r="N185" i="4"/>
  <c r="N186" i="4"/>
  <c r="N187" i="4"/>
  <c r="N188" i="4"/>
  <c r="N189" i="4"/>
  <c r="N190" i="4"/>
  <c r="M192" i="4"/>
  <c r="L192" i="4"/>
  <c r="K185" i="4"/>
  <c r="K186" i="4"/>
  <c r="K187" i="4"/>
  <c r="K188" i="4"/>
  <c r="K189" i="4"/>
  <c r="K190" i="4"/>
  <c r="J192" i="4"/>
  <c r="I192" i="4"/>
  <c r="H185" i="4"/>
  <c r="H186" i="4"/>
  <c r="H187" i="4"/>
  <c r="H188" i="4"/>
  <c r="H189" i="4"/>
  <c r="H190" i="4"/>
  <c r="G192" i="4"/>
  <c r="F192" i="4"/>
  <c r="E192" i="4"/>
  <c r="D192" i="4"/>
  <c r="I129" i="26"/>
  <c r="H129" i="26"/>
  <c r="G129" i="26"/>
  <c r="F129" i="26"/>
  <c r="E129" i="26"/>
  <c r="D129" i="26"/>
  <c r="I144" i="26"/>
  <c r="I145" i="26"/>
  <c r="I146" i="26"/>
  <c r="I147" i="26"/>
  <c r="I148" i="26"/>
  <c r="I149" i="26"/>
  <c r="H151" i="26"/>
  <c r="G151" i="26"/>
  <c r="F151" i="26"/>
  <c r="E151" i="26"/>
  <c r="D151" i="26"/>
  <c r="I164" i="26"/>
  <c r="I165" i="26"/>
  <c r="I166" i="26"/>
  <c r="I167" i="26"/>
  <c r="I168" i="26"/>
  <c r="I169" i="26"/>
  <c r="H171" i="26"/>
  <c r="G171" i="26"/>
  <c r="F171" i="26"/>
  <c r="E171" i="26"/>
  <c r="D171" i="26"/>
  <c r="I184" i="26"/>
  <c r="I185" i="26"/>
  <c r="I186" i="26"/>
  <c r="I187" i="26"/>
  <c r="I188" i="26"/>
  <c r="I189" i="26"/>
  <c r="H191" i="26"/>
  <c r="G191" i="26"/>
  <c r="F191" i="26"/>
  <c r="E191" i="26"/>
  <c r="D191" i="26"/>
  <c r="I204" i="26"/>
  <c r="I205" i="26"/>
  <c r="I206" i="26"/>
  <c r="I207" i="26"/>
  <c r="I208" i="26"/>
  <c r="I209" i="26"/>
  <c r="H211" i="26"/>
  <c r="G211" i="26"/>
  <c r="F211" i="26"/>
  <c r="E211" i="26"/>
  <c r="D211" i="26"/>
  <c r="I224" i="26"/>
  <c r="I225" i="26"/>
  <c r="I226" i="26"/>
  <c r="I227" i="26"/>
  <c r="I228" i="26"/>
  <c r="I229" i="26"/>
  <c r="I231" i="26"/>
  <c r="H231" i="26"/>
  <c r="D231" i="26"/>
  <c r="E231" i="26"/>
  <c r="F231" i="26"/>
  <c r="G231" i="26"/>
  <c r="G251" i="26"/>
  <c r="I251" i="26"/>
  <c r="I244" i="26"/>
  <c r="I245" i="26"/>
  <c r="I246" i="26"/>
  <c r="I247" i="26"/>
  <c r="I248" i="26"/>
  <c r="I249" i="26"/>
  <c r="H251" i="26"/>
  <c r="F251" i="26"/>
  <c r="E251" i="26"/>
  <c r="D251" i="26"/>
  <c r="I272" i="26"/>
  <c r="J272" i="26"/>
  <c r="I102" i="26"/>
  <c r="I103" i="26"/>
  <c r="I104" i="26"/>
  <c r="I105" i="26"/>
  <c r="I106" i="26"/>
  <c r="I107" i="26"/>
  <c r="H109" i="26"/>
  <c r="I82" i="26"/>
  <c r="I83" i="26"/>
  <c r="I84" i="26"/>
  <c r="I85" i="26"/>
  <c r="I86" i="26"/>
  <c r="I87" i="26"/>
  <c r="H89" i="26"/>
  <c r="I62" i="26"/>
  <c r="I63" i="26"/>
  <c r="I64" i="26"/>
  <c r="I65" i="26"/>
  <c r="I66" i="26"/>
  <c r="I67" i="26"/>
  <c r="I42" i="26"/>
  <c r="I43" i="26"/>
  <c r="I44" i="26"/>
  <c r="I45" i="26"/>
  <c r="I46" i="26"/>
  <c r="I47" i="26"/>
  <c r="H41" i="26"/>
  <c r="I22" i="26"/>
  <c r="I23" i="26"/>
  <c r="I24" i="26"/>
  <c r="I25" i="26"/>
  <c r="I26" i="26"/>
  <c r="I27" i="26"/>
  <c r="H29" i="26"/>
  <c r="R46" i="4"/>
  <c r="R85" i="5"/>
  <c r="R85" i="29" s="1"/>
  <c r="R86" i="5"/>
  <c r="R86" i="29" s="1"/>
  <c r="R87" i="5"/>
  <c r="R87" i="29" s="1"/>
  <c r="R88" i="5"/>
  <c r="R88" i="29" s="1"/>
  <c r="R89" i="5"/>
  <c r="R89" i="29" s="1"/>
  <c r="R90" i="5"/>
  <c r="R90" i="29" s="1"/>
  <c r="R91" i="5"/>
  <c r="R91" i="29" s="1"/>
  <c r="R92" i="5"/>
  <c r="R92" i="29" s="1"/>
  <c r="R84" i="5"/>
  <c r="R84" i="29" s="1"/>
  <c r="O85" i="5"/>
  <c r="O85" i="29" s="1"/>
  <c r="O86" i="5"/>
  <c r="O86" i="29" s="1"/>
  <c r="O87" i="5"/>
  <c r="O87" i="29" s="1"/>
  <c r="O88" i="5"/>
  <c r="O88" i="29" s="1"/>
  <c r="O89" i="5"/>
  <c r="O89" i="29" s="1"/>
  <c r="O90" i="5"/>
  <c r="O90" i="29" s="1"/>
  <c r="O91" i="5"/>
  <c r="O91" i="29" s="1"/>
  <c r="O92" i="5"/>
  <c r="O92" i="29" s="1"/>
  <c r="O84" i="5"/>
  <c r="O84" i="29" s="1"/>
  <c r="R62" i="5"/>
  <c r="R62" i="29" s="1"/>
  <c r="R63" i="5"/>
  <c r="R63" i="29" s="1"/>
  <c r="R64" i="5"/>
  <c r="R64" i="29" s="1"/>
  <c r="R65" i="5"/>
  <c r="R65" i="29" s="1"/>
  <c r="R66" i="5"/>
  <c r="R66" i="29" s="1"/>
  <c r="R67" i="5"/>
  <c r="R67" i="29" s="1"/>
  <c r="R68" i="5"/>
  <c r="R68" i="29" s="1"/>
  <c r="R69" i="5"/>
  <c r="R69" i="29" s="1"/>
  <c r="R61" i="5"/>
  <c r="R61" i="29" s="1"/>
  <c r="O62" i="5"/>
  <c r="O62" i="29" s="1"/>
  <c r="O63" i="5"/>
  <c r="O63" i="29" s="1"/>
  <c r="O64" i="5"/>
  <c r="O64" i="29" s="1"/>
  <c r="O65" i="5"/>
  <c r="O65" i="29" s="1"/>
  <c r="O66" i="5"/>
  <c r="O66" i="29" s="1"/>
  <c r="O67" i="5"/>
  <c r="O67" i="29" s="1"/>
  <c r="O68" i="5"/>
  <c r="O68" i="29" s="1"/>
  <c r="O61" i="5"/>
  <c r="O61" i="29" s="1"/>
  <c r="R39" i="5"/>
  <c r="R39" i="29" s="1"/>
  <c r="R40" i="5"/>
  <c r="R40" i="29" s="1"/>
  <c r="R41" i="5"/>
  <c r="R41" i="29" s="1"/>
  <c r="R42" i="5"/>
  <c r="R42" i="29" s="1"/>
  <c r="R43" i="5"/>
  <c r="R43" i="29" s="1"/>
  <c r="R44" i="5"/>
  <c r="R44" i="29" s="1"/>
  <c r="R45" i="5"/>
  <c r="R45" i="29" s="1"/>
  <c r="R46" i="5"/>
  <c r="R46" i="29" s="1"/>
  <c r="O39" i="5"/>
  <c r="O39" i="29" s="1"/>
  <c r="O40" i="5"/>
  <c r="O40" i="29" s="1"/>
  <c r="O41" i="5"/>
  <c r="O41" i="29" s="1"/>
  <c r="O42" i="5"/>
  <c r="O42" i="29" s="1"/>
  <c r="O43" i="5"/>
  <c r="O43" i="29" s="1"/>
  <c r="O44" i="5"/>
  <c r="O44" i="29" s="1"/>
  <c r="O45" i="5"/>
  <c r="O45" i="29" s="1"/>
  <c r="O46" i="5"/>
  <c r="O46" i="29" s="1"/>
  <c r="O38" i="5"/>
  <c r="R38" i="6"/>
  <c r="R38" i="5" s="1"/>
  <c r="R38" i="29" s="1"/>
  <c r="O14" i="6"/>
  <c r="AA26" i="7" l="1"/>
  <c r="E410" i="22"/>
  <c r="AD73" i="7"/>
  <c r="AC24" i="7"/>
  <c r="E46" i="18"/>
  <c r="E45" i="18"/>
  <c r="AJ74" i="7"/>
  <c r="AJ25" i="7" s="1"/>
  <c r="AI25" i="7"/>
  <c r="AJ75" i="7"/>
  <c r="AJ26" i="7" s="1"/>
  <c r="AI26" i="7"/>
  <c r="AG26" i="7"/>
  <c r="F410" i="22"/>
  <c r="F411" i="22" s="1"/>
  <c r="F412" i="22" s="1"/>
  <c r="F414" i="22" s="1"/>
  <c r="E363" i="22"/>
  <c r="AG74" i="7"/>
  <c r="AF25" i="7"/>
  <c r="AC28" i="7"/>
  <c r="AD77" i="7"/>
  <c r="E353" i="22"/>
  <c r="Z28" i="7"/>
  <c r="AA77" i="7"/>
  <c r="AC27" i="7"/>
  <c r="AD76" i="7"/>
  <c r="I68" i="18"/>
  <c r="N436" i="22"/>
  <c r="E446" i="22"/>
  <c r="N467" i="22"/>
  <c r="M468" i="22"/>
  <c r="E456" i="22"/>
  <c r="O436" i="22"/>
  <c r="N437" i="22"/>
  <c r="N405" i="22"/>
  <c r="M406" i="22"/>
  <c r="E384" i="22"/>
  <c r="L375" i="22"/>
  <c r="M374" i="22"/>
  <c r="E394" i="22"/>
  <c r="L344" i="22"/>
  <c r="M343" i="22"/>
  <c r="I67" i="18"/>
  <c r="AI24" i="6"/>
  <c r="AK24" i="6"/>
  <c r="AF26" i="6"/>
  <c r="AH26" i="6"/>
  <c r="AF23" i="6"/>
  <c r="AH23" i="6"/>
  <c r="AF25" i="6"/>
  <c r="AH25" i="6"/>
  <c r="AI27" i="6"/>
  <c r="AK27" i="6"/>
  <c r="I23" i="18"/>
  <c r="I22" i="18"/>
  <c r="I24" i="18"/>
  <c r="I64" i="18"/>
  <c r="I25" i="18"/>
  <c r="AL169" i="7"/>
  <c r="AO169" i="7"/>
  <c r="AO172" i="7"/>
  <c r="AP172" i="7" s="1"/>
  <c r="AR172" i="7" s="1"/>
  <c r="AL172" i="7"/>
  <c r="AM172" i="7" s="1"/>
  <c r="AT172" i="7"/>
  <c r="AA171" i="7"/>
  <c r="AF171" i="7"/>
  <c r="AG171" i="7" s="1"/>
  <c r="AI171" i="7"/>
  <c r="AJ171" i="7" s="1"/>
  <c r="AF170" i="7"/>
  <c r="AG170" i="7" s="1"/>
  <c r="AI170" i="7"/>
  <c r="AJ170" i="7" s="1"/>
  <c r="AI176" i="7"/>
  <c r="AO173" i="7"/>
  <c r="AP173" i="7" s="1"/>
  <c r="AR173" i="7" s="1"/>
  <c r="AL173" i="7"/>
  <c r="AM173" i="7" s="1"/>
  <c r="AA170" i="7"/>
  <c r="AF147" i="7"/>
  <c r="AG147" i="7" s="1"/>
  <c r="AI147" i="7"/>
  <c r="AJ147" i="7" s="1"/>
  <c r="AA148" i="7"/>
  <c r="AF148" i="7"/>
  <c r="AG148" i="7" s="1"/>
  <c r="AI148" i="7"/>
  <c r="AJ148" i="7" s="1"/>
  <c r="AF145" i="7"/>
  <c r="AG145" i="7" s="1"/>
  <c r="AI145" i="7"/>
  <c r="AJ145" i="7" s="1"/>
  <c r="AA145" i="7"/>
  <c r="AO149" i="7"/>
  <c r="AP149" i="7" s="1"/>
  <c r="AR149" i="7" s="1"/>
  <c r="AL149" i="7"/>
  <c r="AM149" i="7" s="1"/>
  <c r="AA146" i="7"/>
  <c r="AF146" i="7"/>
  <c r="AG146" i="7" s="1"/>
  <c r="AI146" i="7"/>
  <c r="AJ146" i="7" s="1"/>
  <c r="AI144" i="7"/>
  <c r="AJ144" i="7" s="1"/>
  <c r="AF144" i="7"/>
  <c r="AG144" i="7" s="1"/>
  <c r="AA147" i="7"/>
  <c r="AA144" i="7"/>
  <c r="AO125" i="7"/>
  <c r="AP125" i="7" s="1"/>
  <c r="AR125" i="7" s="1"/>
  <c r="AJ125" i="7"/>
  <c r="AL125" i="7" s="1"/>
  <c r="AM125" i="7" s="1"/>
  <c r="AG125" i="7"/>
  <c r="AA123" i="7"/>
  <c r="AF123" i="7"/>
  <c r="AG123" i="7" s="1"/>
  <c r="AI123" i="7"/>
  <c r="AI121" i="7"/>
  <c r="AF121" i="7"/>
  <c r="AG121" i="7" s="1"/>
  <c r="AA121" i="7"/>
  <c r="AF122" i="7"/>
  <c r="AG122" i="7" s="1"/>
  <c r="AI122" i="7"/>
  <c r="AA122" i="7"/>
  <c r="AA124" i="7"/>
  <c r="AF124" i="7"/>
  <c r="AG124" i="7" s="1"/>
  <c r="AI124" i="7"/>
  <c r="AS99" i="7"/>
  <c r="AU99" i="7"/>
  <c r="AI97" i="7"/>
  <c r="AJ97" i="7" s="1"/>
  <c r="AF97" i="7"/>
  <c r="AG97" i="7" s="1"/>
  <c r="AA97" i="7"/>
  <c r="AT101" i="7"/>
  <c r="AF98" i="7"/>
  <c r="AG98" i="7" s="1"/>
  <c r="AI98" i="7"/>
  <c r="AJ98" i="7" s="1"/>
  <c r="AG100" i="7"/>
  <c r="AT100" i="7"/>
  <c r="AA98" i="7"/>
  <c r="AT99" i="7"/>
  <c r="AL101" i="7"/>
  <c r="AM101" i="7" s="1"/>
  <c r="AO101" i="7"/>
  <c r="AP101" i="7" s="1"/>
  <c r="AR101" i="7" s="1"/>
  <c r="AO100" i="7"/>
  <c r="AP100" i="7" s="1"/>
  <c r="AR100" i="7" s="1"/>
  <c r="AL100" i="7"/>
  <c r="AM100" i="7" s="1"/>
  <c r="AO75" i="7"/>
  <c r="AL75" i="7"/>
  <c r="AO74" i="7"/>
  <c r="AG75" i="7"/>
  <c r="AL52" i="7"/>
  <c r="AM52" i="7" s="1"/>
  <c r="AO52" i="7"/>
  <c r="AP52" i="7" s="1"/>
  <c r="AR52" i="7" s="1"/>
  <c r="AG52" i="7"/>
  <c r="AI50" i="7"/>
  <c r="AF50" i="7"/>
  <c r="AA50" i="7"/>
  <c r="AF51" i="7"/>
  <c r="AG51" i="7" s="1"/>
  <c r="AI51" i="7"/>
  <c r="AJ51" i="7" s="1"/>
  <c r="AA51" i="7"/>
  <c r="AL53" i="7"/>
  <c r="AO53" i="7"/>
  <c r="AP53" i="7" s="1"/>
  <c r="AR53" i="7" s="1"/>
  <c r="AO49" i="7"/>
  <c r="AL49" i="7"/>
  <c r="AF26" i="29"/>
  <c r="AG26" i="29" s="1"/>
  <c r="AE125" i="6"/>
  <c r="AN97" i="4"/>
  <c r="AK100" i="4"/>
  <c r="AB27" i="29"/>
  <c r="AA30" i="29"/>
  <c r="AF27" i="29"/>
  <c r="AG27" i="29" s="1"/>
  <c r="AM78" i="6"/>
  <c r="AW73" i="29"/>
  <c r="AW77" i="29"/>
  <c r="AH75" i="6"/>
  <c r="AF75" i="6"/>
  <c r="AN73" i="4"/>
  <c r="AL73" i="4"/>
  <c r="AK77" i="4"/>
  <c r="AI74" i="6"/>
  <c r="AE78" i="6"/>
  <c r="AF54" i="29"/>
  <c r="AC27" i="29"/>
  <c r="AW27" i="29" s="1"/>
  <c r="AW51" i="29"/>
  <c r="AN74" i="6"/>
  <c r="AF74" i="6"/>
  <c r="AB78" i="6"/>
  <c r="AC74" i="6"/>
  <c r="AH78" i="6"/>
  <c r="AF74" i="29"/>
  <c r="AF77" i="29" s="1"/>
  <c r="AC26" i="29"/>
  <c r="AW50" i="29"/>
  <c r="AU163" i="29"/>
  <c r="AQ163" i="29"/>
  <c r="AG166" i="29"/>
  <c r="AK166" i="29"/>
  <c r="AG165" i="29"/>
  <c r="AK165" i="29"/>
  <c r="AG164" i="29"/>
  <c r="AK164" i="29"/>
  <c r="AK162" i="29"/>
  <c r="AG162" i="29"/>
  <c r="AG142" i="29"/>
  <c r="AK142" i="29"/>
  <c r="AK140" i="29"/>
  <c r="AG140" i="29"/>
  <c r="AK139" i="29"/>
  <c r="AG139" i="29"/>
  <c r="AG143" i="29"/>
  <c r="AK143" i="29"/>
  <c r="AG141" i="29"/>
  <c r="AK141" i="29"/>
  <c r="AK116" i="29"/>
  <c r="AG116" i="29"/>
  <c r="AG120" i="29"/>
  <c r="AK120" i="29"/>
  <c r="AG119" i="29"/>
  <c r="AK119" i="29"/>
  <c r="AG118" i="29"/>
  <c r="AK118" i="29"/>
  <c r="AG117" i="29"/>
  <c r="AK117" i="29"/>
  <c r="AK96" i="29"/>
  <c r="AG96" i="29"/>
  <c r="AG95" i="29"/>
  <c r="AK95" i="29"/>
  <c r="AG97" i="29"/>
  <c r="AK97" i="29"/>
  <c r="AG93" i="29"/>
  <c r="AK93" i="29"/>
  <c r="AK94" i="29"/>
  <c r="AG94" i="29"/>
  <c r="AG72" i="29"/>
  <c r="AK72" i="29"/>
  <c r="AK73" i="29"/>
  <c r="AG73" i="29"/>
  <c r="AK71" i="29"/>
  <c r="AG71" i="29"/>
  <c r="AG74" i="29"/>
  <c r="AK74" i="29"/>
  <c r="AK70" i="29"/>
  <c r="AG70" i="29"/>
  <c r="AK48" i="29"/>
  <c r="AG48" i="29"/>
  <c r="AK47" i="29"/>
  <c r="AG47" i="29"/>
  <c r="AG49" i="29"/>
  <c r="AK49" i="29"/>
  <c r="AG51" i="29"/>
  <c r="AK51" i="29"/>
  <c r="AG50" i="29"/>
  <c r="AK50" i="29"/>
  <c r="AG73" i="5"/>
  <c r="AK73" i="5"/>
  <c r="AK70" i="5"/>
  <c r="AG70" i="5"/>
  <c r="AG72" i="5"/>
  <c r="AK72" i="5"/>
  <c r="AK71" i="5"/>
  <c r="AG71" i="5"/>
  <c r="AP74" i="5"/>
  <c r="AL74" i="5"/>
  <c r="AG51" i="5"/>
  <c r="AK51" i="5"/>
  <c r="AG47" i="5"/>
  <c r="AK47" i="5"/>
  <c r="AG49" i="5"/>
  <c r="AK49" i="5"/>
  <c r="AL48" i="5"/>
  <c r="AP48" i="5"/>
  <c r="AQ50" i="5"/>
  <c r="AU50" i="5"/>
  <c r="AG166" i="5"/>
  <c r="AK166" i="5"/>
  <c r="AG165" i="5"/>
  <c r="AK165" i="5"/>
  <c r="AG163" i="5"/>
  <c r="AK163" i="5"/>
  <c r="AG162" i="5"/>
  <c r="AK162" i="5"/>
  <c r="AG164" i="5"/>
  <c r="AK164" i="5"/>
  <c r="AG143" i="5"/>
  <c r="AK143" i="5"/>
  <c r="AG139" i="5"/>
  <c r="AK139" i="5"/>
  <c r="AG141" i="5"/>
  <c r="AK141" i="5"/>
  <c r="AP140" i="5"/>
  <c r="AL140" i="5"/>
  <c r="AL142" i="5"/>
  <c r="AP142" i="5"/>
  <c r="AL118" i="5"/>
  <c r="AP118" i="5"/>
  <c r="AG117" i="5"/>
  <c r="AK117" i="5"/>
  <c r="AQ120" i="5"/>
  <c r="AU120" i="5"/>
  <c r="AK119" i="5"/>
  <c r="AG119" i="5"/>
  <c r="AG116" i="5"/>
  <c r="AK116" i="5"/>
  <c r="AL95" i="5"/>
  <c r="AP95" i="5"/>
  <c r="AP94" i="5"/>
  <c r="AL94" i="5"/>
  <c r="AG97" i="5"/>
  <c r="AK97" i="5"/>
  <c r="AK96" i="5"/>
  <c r="AG96" i="5"/>
  <c r="AG93" i="5"/>
  <c r="AK93" i="5"/>
  <c r="AF143" i="6"/>
  <c r="AH143" i="6"/>
  <c r="AI142" i="6"/>
  <c r="AK142" i="6"/>
  <c r="AK145" i="6"/>
  <c r="AI145" i="6"/>
  <c r="AE148" i="6"/>
  <c r="AF140" i="6"/>
  <c r="AH140" i="6"/>
  <c r="AH119" i="6"/>
  <c r="AF119" i="6"/>
  <c r="AH121" i="6"/>
  <c r="AF121" i="6"/>
  <c r="AH118" i="6"/>
  <c r="AF118" i="6"/>
  <c r="AI120" i="6"/>
  <c r="AK120" i="6"/>
  <c r="AH122" i="6"/>
  <c r="AF122" i="6"/>
  <c r="AE47" i="4"/>
  <c r="Q47" i="13"/>
  <c r="Q139" i="13"/>
  <c r="AC47" i="4"/>
  <c r="AB54" i="4"/>
  <c r="Q70" i="13"/>
  <c r="AE23" i="4"/>
  <c r="AB30" i="4"/>
  <c r="AC23" i="4"/>
  <c r="F51" i="13"/>
  <c r="M52" i="13"/>
  <c r="H51" i="13"/>
  <c r="J52" i="13"/>
  <c r="J49" i="13"/>
  <c r="L49" i="13"/>
  <c r="L48" i="13"/>
  <c r="H121" i="13"/>
  <c r="J121" i="13"/>
  <c r="L121" i="13"/>
  <c r="M167" i="13"/>
  <c r="L166" i="13"/>
  <c r="L165" i="13"/>
  <c r="L164" i="13"/>
  <c r="L163" i="13"/>
  <c r="L162" i="13"/>
  <c r="R14" i="6"/>
  <c r="O14" i="5"/>
  <c r="R14" i="29"/>
  <c r="R14" i="5"/>
  <c r="O38" i="29"/>
  <c r="O14" i="29" s="1"/>
  <c r="V24" i="4"/>
  <c r="T121" i="4"/>
  <c r="V120" i="4"/>
  <c r="I211" i="26"/>
  <c r="R22" i="6"/>
  <c r="R21" i="6"/>
  <c r="R20" i="6"/>
  <c r="R19" i="6"/>
  <c r="R18" i="6"/>
  <c r="R17" i="6"/>
  <c r="R16" i="6"/>
  <c r="R15" i="6"/>
  <c r="O15" i="6"/>
  <c r="O16" i="6"/>
  <c r="O17" i="6"/>
  <c r="O18" i="6"/>
  <c r="O19" i="6"/>
  <c r="O20" i="6"/>
  <c r="O21" i="6"/>
  <c r="H310" i="22"/>
  <c r="O70" i="6"/>
  <c r="AP74" i="7" l="1"/>
  <c r="AO25" i="7"/>
  <c r="AD27" i="7"/>
  <c r="AF76" i="7"/>
  <c r="AI76" i="7"/>
  <c r="G128" i="18"/>
  <c r="G44" i="18"/>
  <c r="AA28" i="7"/>
  <c r="E472" i="22"/>
  <c r="E473" i="22" s="1"/>
  <c r="E474" i="22" s="1"/>
  <c r="E476" i="22" s="1"/>
  <c r="Q143" i="13"/>
  <c r="G127" i="18"/>
  <c r="G43" i="18"/>
  <c r="AF77" i="7"/>
  <c r="AD28" i="7"/>
  <c r="AI77" i="7"/>
  <c r="AL74" i="7"/>
  <c r="AG25" i="7"/>
  <c r="F379" i="22"/>
  <c r="F380" i="22" s="1"/>
  <c r="F381" i="22" s="1"/>
  <c r="F383" i="22" s="1"/>
  <c r="S140" i="13"/>
  <c r="AD24" i="7"/>
  <c r="AD80" i="7"/>
  <c r="AF73" i="7"/>
  <c r="AI73" i="7"/>
  <c r="E411" i="22"/>
  <c r="E412" i="22" s="1"/>
  <c r="E414" i="22" s="1"/>
  <c r="AM75" i="7"/>
  <c r="AL26" i="7"/>
  <c r="AP75" i="7"/>
  <c r="AO26" i="7"/>
  <c r="F423" i="22"/>
  <c r="F415" i="22"/>
  <c r="O467" i="22"/>
  <c r="N468" i="22"/>
  <c r="P436" i="22"/>
  <c r="O437" i="22"/>
  <c r="O405" i="22"/>
  <c r="N406" i="22"/>
  <c r="N374" i="22"/>
  <c r="M375" i="22"/>
  <c r="N343" i="22"/>
  <c r="M344" i="22"/>
  <c r="AN27" i="6"/>
  <c r="AL27" i="6"/>
  <c r="W27" i="13"/>
  <c r="AK25" i="6"/>
  <c r="AI25" i="6"/>
  <c r="U25" i="13"/>
  <c r="AK23" i="6"/>
  <c r="AI23" i="6"/>
  <c r="U23" i="13"/>
  <c r="AL24" i="6"/>
  <c r="AN24" i="6"/>
  <c r="W24" i="13"/>
  <c r="AI26" i="6"/>
  <c r="AK26" i="6"/>
  <c r="U26" i="13"/>
  <c r="AL171" i="7"/>
  <c r="AO171" i="7"/>
  <c r="AP171" i="7" s="1"/>
  <c r="AR171" i="7" s="1"/>
  <c r="AF176" i="7"/>
  <c r="AT173" i="7"/>
  <c r="AS173" i="7"/>
  <c r="AU173" i="7"/>
  <c r="AS172" i="7"/>
  <c r="AU172" i="7"/>
  <c r="AL170" i="7"/>
  <c r="AO170" i="7"/>
  <c r="AP170" i="7" s="1"/>
  <c r="AR170" i="7" s="1"/>
  <c r="AJ176" i="7"/>
  <c r="AP169" i="7"/>
  <c r="AM169" i="7"/>
  <c r="AS149" i="7"/>
  <c r="AU149" i="7"/>
  <c r="AL145" i="7"/>
  <c r="AO145" i="7"/>
  <c r="AP145" i="7" s="1"/>
  <c r="AR145" i="7" s="1"/>
  <c r="AL144" i="7"/>
  <c r="AM144" i="7" s="1"/>
  <c r="AO144" i="7"/>
  <c r="AP144" i="7" s="1"/>
  <c r="AR144" i="7" s="1"/>
  <c r="AO148" i="7"/>
  <c r="AP148" i="7" s="1"/>
  <c r="AR148" i="7" s="1"/>
  <c r="AL148" i="7"/>
  <c r="AM148" i="7" s="1"/>
  <c r="AL146" i="7"/>
  <c r="AM146" i="7" s="1"/>
  <c r="AO146" i="7"/>
  <c r="AP146" i="7" s="1"/>
  <c r="AR146" i="7" s="1"/>
  <c r="AT148" i="7"/>
  <c r="AT146" i="7"/>
  <c r="AT149" i="7"/>
  <c r="AL147" i="7"/>
  <c r="AM147" i="7" s="1"/>
  <c r="AO147" i="7"/>
  <c r="AP147" i="7" s="1"/>
  <c r="AR147" i="7" s="1"/>
  <c r="AJ121" i="7"/>
  <c r="AL121" i="7" s="1"/>
  <c r="AO121" i="7"/>
  <c r="AP121" i="7" s="1"/>
  <c r="AR121" i="7" s="1"/>
  <c r="AO124" i="7"/>
  <c r="AP124" i="7" s="1"/>
  <c r="AR124" i="7" s="1"/>
  <c r="AT124" i="7" s="1"/>
  <c r="AJ124" i="7"/>
  <c r="AL124" i="7" s="1"/>
  <c r="AM124" i="7" s="1"/>
  <c r="AJ123" i="7"/>
  <c r="AL123" i="7" s="1"/>
  <c r="AM123" i="7" s="1"/>
  <c r="AO123" i="7"/>
  <c r="AP123" i="7" s="1"/>
  <c r="AR123" i="7" s="1"/>
  <c r="AT125" i="7"/>
  <c r="AO122" i="7"/>
  <c r="AP122" i="7" s="1"/>
  <c r="AR122" i="7" s="1"/>
  <c r="AJ122" i="7"/>
  <c r="AL122" i="7" s="1"/>
  <c r="AM122" i="7" s="1"/>
  <c r="AS125" i="7"/>
  <c r="AU125" i="7"/>
  <c r="AL98" i="7"/>
  <c r="AO98" i="7"/>
  <c r="AP98" i="7" s="1"/>
  <c r="AR98" i="7" s="1"/>
  <c r="AS100" i="7"/>
  <c r="AU100" i="7"/>
  <c r="AS101" i="7"/>
  <c r="AU101" i="7"/>
  <c r="AL97" i="7"/>
  <c r="AO97" i="7"/>
  <c r="AP97" i="7" s="1"/>
  <c r="AR97" i="7" s="1"/>
  <c r="AL51" i="7"/>
  <c r="AO51" i="7"/>
  <c r="AP51" i="7" s="1"/>
  <c r="AR51" i="7" s="1"/>
  <c r="AG50" i="7"/>
  <c r="AF56" i="7"/>
  <c r="AM49" i="7"/>
  <c r="AJ50" i="7"/>
  <c r="AI56" i="7"/>
  <c r="AP49" i="7"/>
  <c r="AT52" i="7"/>
  <c r="AS53" i="7"/>
  <c r="AU53" i="7"/>
  <c r="AM53" i="7"/>
  <c r="AT53" i="7"/>
  <c r="AS52" i="7"/>
  <c r="AU52" i="7"/>
  <c r="AF30" i="29"/>
  <c r="AK26" i="29"/>
  <c r="AL26" i="29" s="1"/>
  <c r="AK27" i="29"/>
  <c r="AL27" i="29" s="1"/>
  <c r="AW54" i="29"/>
  <c r="AW26" i="29"/>
  <c r="AW30" i="29" s="1"/>
  <c r="AC30" i="29"/>
  <c r="AK75" i="6"/>
  <c r="AI75" i="6"/>
  <c r="AL162" i="29"/>
  <c r="AP162" i="29"/>
  <c r="AK169" i="29"/>
  <c r="AP164" i="29"/>
  <c r="AL164" i="29"/>
  <c r="AP165" i="29"/>
  <c r="AL165" i="29"/>
  <c r="AL166" i="29"/>
  <c r="AP166" i="29"/>
  <c r="AV163" i="29"/>
  <c r="AX163" i="29"/>
  <c r="AP141" i="29"/>
  <c r="AL141" i="29"/>
  <c r="AP143" i="29"/>
  <c r="AL143" i="29"/>
  <c r="AL139" i="29"/>
  <c r="AP139" i="29"/>
  <c r="AK146" i="29"/>
  <c r="AL140" i="29"/>
  <c r="AP140" i="29"/>
  <c r="AP142" i="29"/>
  <c r="AL142" i="29"/>
  <c r="AL117" i="29"/>
  <c r="AP117" i="29"/>
  <c r="AP118" i="29"/>
  <c r="AL118" i="29"/>
  <c r="AP119" i="29"/>
  <c r="AL119" i="29"/>
  <c r="AL120" i="29"/>
  <c r="AP120" i="29"/>
  <c r="AL116" i="29"/>
  <c r="AP116" i="29"/>
  <c r="AK123" i="29"/>
  <c r="AP94" i="29"/>
  <c r="AL94" i="29"/>
  <c r="AL93" i="29"/>
  <c r="AP93" i="29"/>
  <c r="AK100" i="29"/>
  <c r="AP97" i="29"/>
  <c r="AL97" i="29"/>
  <c r="AL95" i="29"/>
  <c r="AP95" i="29"/>
  <c r="AP96" i="29"/>
  <c r="AL96" i="29"/>
  <c r="AL70" i="29"/>
  <c r="AP70" i="29"/>
  <c r="AK77" i="29"/>
  <c r="AP74" i="29"/>
  <c r="AL74" i="29"/>
  <c r="AL72" i="29"/>
  <c r="AP72" i="29"/>
  <c r="AL71" i="29"/>
  <c r="AP71" i="29"/>
  <c r="AP73" i="29"/>
  <c r="AL73" i="29"/>
  <c r="AL48" i="29"/>
  <c r="AP48" i="29"/>
  <c r="AP50" i="29"/>
  <c r="AL50" i="29"/>
  <c r="AP51" i="29"/>
  <c r="AL51" i="29"/>
  <c r="AL49" i="29"/>
  <c r="AP49" i="29"/>
  <c r="AL47" i="29"/>
  <c r="AP47" i="29"/>
  <c r="AK54" i="29"/>
  <c r="AQ74" i="5"/>
  <c r="AU74" i="5"/>
  <c r="AL72" i="5"/>
  <c r="AP72" i="5"/>
  <c r="AL71" i="5"/>
  <c r="AP71" i="5"/>
  <c r="AL70" i="5"/>
  <c r="AP70" i="5"/>
  <c r="AK77" i="5"/>
  <c r="AP73" i="5"/>
  <c r="AL73" i="5"/>
  <c r="AV50" i="5"/>
  <c r="AX50" i="5"/>
  <c r="AQ48" i="5"/>
  <c r="AU48" i="5"/>
  <c r="AL49" i="5"/>
  <c r="AP49" i="5"/>
  <c r="AP47" i="5"/>
  <c r="AL47" i="5"/>
  <c r="AK54" i="5"/>
  <c r="AP51" i="5"/>
  <c r="AL51" i="5"/>
  <c r="AP164" i="5"/>
  <c r="AL164" i="5"/>
  <c r="AP162" i="5"/>
  <c r="AL162" i="5"/>
  <c r="AK169" i="5"/>
  <c r="AL163" i="5"/>
  <c r="AP163" i="5"/>
  <c r="AL165" i="5"/>
  <c r="AP165" i="5"/>
  <c r="AP166" i="5"/>
  <c r="AL166" i="5"/>
  <c r="AL143" i="5"/>
  <c r="AP143" i="5"/>
  <c r="AL141" i="5"/>
  <c r="AP141" i="5"/>
  <c r="AP139" i="5"/>
  <c r="AL139" i="5"/>
  <c r="AK146" i="5"/>
  <c r="AQ142" i="5"/>
  <c r="AU142" i="5"/>
  <c r="AQ140" i="5"/>
  <c r="AU140" i="5"/>
  <c r="AP116" i="5"/>
  <c r="AL116" i="5"/>
  <c r="AU118" i="5"/>
  <c r="AQ118" i="5"/>
  <c r="AL119" i="5"/>
  <c r="AP119" i="5"/>
  <c r="AV120" i="5"/>
  <c r="AX120" i="5"/>
  <c r="AP117" i="5"/>
  <c r="AL117" i="5"/>
  <c r="AL97" i="5"/>
  <c r="AP97" i="5"/>
  <c r="AP93" i="5"/>
  <c r="AL93" i="5"/>
  <c r="AK100" i="5"/>
  <c r="AL96" i="5"/>
  <c r="AP96" i="5"/>
  <c r="AQ94" i="5"/>
  <c r="AU94" i="5"/>
  <c r="AU95" i="5"/>
  <c r="AQ95" i="5"/>
  <c r="AK140" i="6"/>
  <c r="AI140" i="6"/>
  <c r="AH148" i="6"/>
  <c r="AL145" i="6"/>
  <c r="AN145" i="6"/>
  <c r="AL142" i="6"/>
  <c r="AN142" i="6"/>
  <c r="AK143" i="6"/>
  <c r="AI143" i="6"/>
  <c r="AI119" i="6"/>
  <c r="AK119" i="6"/>
  <c r="AI122" i="6"/>
  <c r="AK122" i="6"/>
  <c r="AL120" i="6"/>
  <c r="AN120" i="6"/>
  <c r="AK118" i="6"/>
  <c r="AI118" i="6"/>
  <c r="AH125" i="6"/>
  <c r="AK121" i="6"/>
  <c r="AI121" i="6"/>
  <c r="S47" i="13"/>
  <c r="AF47" i="4"/>
  <c r="AE54" i="4"/>
  <c r="AH47" i="4"/>
  <c r="S70" i="13"/>
  <c r="AE30" i="4"/>
  <c r="AH23" i="4"/>
  <c r="AF23" i="4"/>
  <c r="O22" i="6"/>
  <c r="O69" i="5"/>
  <c r="O69" i="29" s="1"/>
  <c r="I310" i="22"/>
  <c r="J22" i="22"/>
  <c r="K22" i="22" s="1"/>
  <c r="L22" i="22" s="1"/>
  <c r="M22" i="22" s="1"/>
  <c r="N22" i="22" s="1"/>
  <c r="O22" i="22" s="1"/>
  <c r="P22" i="22" s="1"/>
  <c r="Q22" i="22" s="1"/>
  <c r="R22" i="22" s="1"/>
  <c r="S22" i="22" s="1"/>
  <c r="T22" i="22" s="1"/>
  <c r="U22" i="22" s="1"/>
  <c r="V22" i="22" s="1"/>
  <c r="W22" i="22" s="1"/>
  <c r="X22" i="22" s="1"/>
  <c r="Y22" i="22" s="1"/>
  <c r="Z22" i="22" s="1"/>
  <c r="AA22" i="22" s="1"/>
  <c r="E13" i="26"/>
  <c r="D61" i="27"/>
  <c r="D60" i="27"/>
  <c r="D40" i="27"/>
  <c r="D39" i="27"/>
  <c r="D120" i="27"/>
  <c r="D59" i="27"/>
  <c r="D58" i="27"/>
  <c r="D57" i="27"/>
  <c r="D56" i="27"/>
  <c r="D55" i="27"/>
  <c r="D38" i="27"/>
  <c r="D37" i="27"/>
  <c r="D36" i="27"/>
  <c r="D62" i="27"/>
  <c r="H81" i="1"/>
  <c r="H80" i="1"/>
  <c r="H79" i="1"/>
  <c r="H78" i="1"/>
  <c r="H77" i="1"/>
  <c r="H75" i="1"/>
  <c r="H73" i="1"/>
  <c r="H71" i="1"/>
  <c r="H63" i="1"/>
  <c r="H62" i="1"/>
  <c r="H61" i="1"/>
  <c r="H60" i="1"/>
  <c r="H59" i="1"/>
  <c r="H57" i="1"/>
  <c r="H55" i="1"/>
  <c r="H53" i="1"/>
  <c r="F129" i="12"/>
  <c r="F130" i="12"/>
  <c r="F131" i="12"/>
  <c r="F132" i="12"/>
  <c r="F107" i="12"/>
  <c r="F108" i="12"/>
  <c r="F65" i="12"/>
  <c r="E423" i="22" l="1"/>
  <c r="E425" i="22" s="1"/>
  <c r="F425" i="22" s="1"/>
  <c r="E415" i="22"/>
  <c r="E477" i="22"/>
  <c r="E485" i="22"/>
  <c r="E487" i="22" s="1"/>
  <c r="F392" i="22"/>
  <c r="F394" i="22" s="1"/>
  <c r="F384" i="22"/>
  <c r="AM26" i="7"/>
  <c r="G410" i="22"/>
  <c r="G411" i="22" s="1"/>
  <c r="G412" i="22" s="1"/>
  <c r="G414" i="22" s="1"/>
  <c r="U141" i="13"/>
  <c r="AM74" i="7"/>
  <c r="AL25" i="7"/>
  <c r="AJ76" i="7"/>
  <c r="AI27" i="7"/>
  <c r="AJ77" i="7"/>
  <c r="AI28" i="7"/>
  <c r="AG76" i="7"/>
  <c r="AF27" i="7"/>
  <c r="F130" i="18"/>
  <c r="F46" i="18"/>
  <c r="F129" i="18"/>
  <c r="F45" i="18"/>
  <c r="AR75" i="7"/>
  <c r="AP26" i="7"/>
  <c r="AG77" i="7"/>
  <c r="AF28" i="7"/>
  <c r="AJ73" i="7"/>
  <c r="AI24" i="7"/>
  <c r="AI80" i="7"/>
  <c r="F126" i="18"/>
  <c r="F42" i="18"/>
  <c r="AG73" i="7"/>
  <c r="AF24" i="7"/>
  <c r="AF80" i="7"/>
  <c r="AR74" i="7"/>
  <c r="AP25" i="7"/>
  <c r="P467" i="22"/>
  <c r="O468" i="22"/>
  <c r="Q436" i="22"/>
  <c r="P437" i="22"/>
  <c r="P405" i="22"/>
  <c r="O406" i="22"/>
  <c r="N375" i="22"/>
  <c r="O374" i="22"/>
  <c r="O343" i="22"/>
  <c r="N344" i="22"/>
  <c r="AL25" i="6"/>
  <c r="AN25" i="6"/>
  <c r="W25" i="13"/>
  <c r="AL23" i="6"/>
  <c r="AN23" i="6"/>
  <c r="W23" i="13"/>
  <c r="AL26" i="6"/>
  <c r="AN26" i="6"/>
  <c r="W26" i="13"/>
  <c r="AU170" i="7"/>
  <c r="AS170" i="7"/>
  <c r="AM170" i="7"/>
  <c r="AT170" i="7"/>
  <c r="AL176" i="7"/>
  <c r="AR169" i="7"/>
  <c r="AP176" i="7"/>
  <c r="AS171" i="7"/>
  <c r="AU171" i="7"/>
  <c r="AO176" i="7"/>
  <c r="AM171" i="7"/>
  <c r="AT171" i="7"/>
  <c r="AS146" i="7"/>
  <c r="AU146" i="7"/>
  <c r="AS148" i="7"/>
  <c r="AU148" i="7"/>
  <c r="AU144" i="7"/>
  <c r="AS144" i="7"/>
  <c r="AU145" i="7"/>
  <c r="AS145" i="7"/>
  <c r="AS147" i="7"/>
  <c r="AU147" i="7"/>
  <c r="AM145" i="7"/>
  <c r="AT145" i="7"/>
  <c r="AT147" i="7"/>
  <c r="AT144" i="7"/>
  <c r="AU122" i="7"/>
  <c r="AS122" i="7"/>
  <c r="AT122" i="7"/>
  <c r="AT123" i="7"/>
  <c r="AS123" i="7"/>
  <c r="AU123" i="7"/>
  <c r="AU121" i="7"/>
  <c r="AS121" i="7"/>
  <c r="AS124" i="7"/>
  <c r="AU124" i="7"/>
  <c r="AM121" i="7"/>
  <c r="AT121" i="7"/>
  <c r="AU97" i="7"/>
  <c r="AS97" i="7"/>
  <c r="AM97" i="7"/>
  <c r="AT97" i="7"/>
  <c r="AU98" i="7"/>
  <c r="AS98" i="7"/>
  <c r="AM98" i="7"/>
  <c r="AT98" i="7"/>
  <c r="AR49" i="7"/>
  <c r="AL50" i="7"/>
  <c r="AO50" i="7"/>
  <c r="AJ56" i="7"/>
  <c r="AM51" i="7"/>
  <c r="AT51" i="7"/>
  <c r="AU51" i="7"/>
  <c r="AS51" i="7"/>
  <c r="AK30" i="29"/>
  <c r="AP26" i="29"/>
  <c r="AQ26" i="29" s="1"/>
  <c r="AP27" i="29"/>
  <c r="AQ27" i="29" s="1"/>
  <c r="AL75" i="6"/>
  <c r="AN75" i="6"/>
  <c r="AK78" i="6"/>
  <c r="AQ166" i="29"/>
  <c r="AU166" i="29"/>
  <c r="AQ165" i="29"/>
  <c r="AU165" i="29"/>
  <c r="AU162" i="29"/>
  <c r="AQ162" i="29"/>
  <c r="AP169" i="29"/>
  <c r="AU164" i="29"/>
  <c r="AQ164" i="29"/>
  <c r="AQ142" i="29"/>
  <c r="AU142" i="29"/>
  <c r="AU140" i="29"/>
  <c r="AQ140" i="29"/>
  <c r="AU139" i="29"/>
  <c r="AQ139" i="29"/>
  <c r="AP146" i="29"/>
  <c r="AQ143" i="29"/>
  <c r="AU143" i="29"/>
  <c r="AU141" i="29"/>
  <c r="AQ141" i="29"/>
  <c r="AU116" i="29"/>
  <c r="AQ116" i="29"/>
  <c r="AP123" i="29"/>
  <c r="AU117" i="29"/>
  <c r="AQ117" i="29"/>
  <c r="AQ120" i="29"/>
  <c r="AU120" i="29"/>
  <c r="AQ119" i="29"/>
  <c r="AU119" i="29"/>
  <c r="AQ118" i="29"/>
  <c r="AU118" i="29"/>
  <c r="AQ96" i="29"/>
  <c r="AU96" i="29"/>
  <c r="AU95" i="29"/>
  <c r="AQ95" i="29"/>
  <c r="AU97" i="29"/>
  <c r="AQ97" i="29"/>
  <c r="AQ93" i="29"/>
  <c r="AU93" i="29"/>
  <c r="AP100" i="29"/>
  <c r="AU94" i="29"/>
  <c r="AQ94" i="29"/>
  <c r="AQ73" i="29"/>
  <c r="AU73" i="29"/>
  <c r="AU71" i="29"/>
  <c r="AQ71" i="29"/>
  <c r="AU72" i="29"/>
  <c r="AQ72" i="29"/>
  <c r="AQ74" i="29"/>
  <c r="AU74" i="29"/>
  <c r="AU70" i="29"/>
  <c r="AQ70" i="29"/>
  <c r="AP77" i="29"/>
  <c r="AU47" i="29"/>
  <c r="AQ47" i="29"/>
  <c r="AP54" i="29"/>
  <c r="AU48" i="29"/>
  <c r="AQ48" i="29"/>
  <c r="AQ51" i="29"/>
  <c r="AU51" i="29"/>
  <c r="AU49" i="29"/>
  <c r="AQ49" i="29"/>
  <c r="AQ50" i="29"/>
  <c r="AU50" i="29"/>
  <c r="AV74" i="5"/>
  <c r="AX74" i="5"/>
  <c r="AQ73" i="5"/>
  <c r="AU73" i="5"/>
  <c r="AU71" i="5"/>
  <c r="AQ71" i="5"/>
  <c r="AQ70" i="5"/>
  <c r="AU70" i="5"/>
  <c r="AP77" i="5"/>
  <c r="AU72" i="5"/>
  <c r="AQ72" i="5"/>
  <c r="AQ51" i="5"/>
  <c r="AU51" i="5"/>
  <c r="AU49" i="5"/>
  <c r="AQ49" i="5"/>
  <c r="AQ47" i="5"/>
  <c r="AU47" i="5"/>
  <c r="AP54" i="5"/>
  <c r="AV48" i="5"/>
  <c r="AX48" i="5"/>
  <c r="AQ166" i="5"/>
  <c r="AU166" i="5"/>
  <c r="AQ165" i="5"/>
  <c r="AU165" i="5"/>
  <c r="AQ163" i="5"/>
  <c r="AU163" i="5"/>
  <c r="AQ162" i="5"/>
  <c r="AU162" i="5"/>
  <c r="AP169" i="5"/>
  <c r="AQ164" i="5"/>
  <c r="AU164" i="5"/>
  <c r="AQ143" i="5"/>
  <c r="AU143" i="5"/>
  <c r="AV140" i="5"/>
  <c r="AX140" i="5"/>
  <c r="AQ139" i="5"/>
  <c r="AU139" i="5"/>
  <c r="AP146" i="5"/>
  <c r="AV142" i="5"/>
  <c r="AX142" i="5"/>
  <c r="AU141" i="5"/>
  <c r="AQ141" i="5"/>
  <c r="AQ119" i="5"/>
  <c r="AU119" i="5"/>
  <c r="AQ117" i="5"/>
  <c r="AU117" i="5"/>
  <c r="AV118" i="5"/>
  <c r="AX118" i="5"/>
  <c r="AQ116" i="5"/>
  <c r="AU116" i="5"/>
  <c r="AQ97" i="5"/>
  <c r="AU97" i="5"/>
  <c r="AV94" i="5"/>
  <c r="AX94" i="5"/>
  <c r="AQ96" i="5"/>
  <c r="AU96" i="5"/>
  <c r="AV95" i="5"/>
  <c r="AX95" i="5"/>
  <c r="AQ93" i="5"/>
  <c r="AU93" i="5"/>
  <c r="AP100" i="5"/>
  <c r="AL143" i="6"/>
  <c r="AN143" i="6"/>
  <c r="AL140" i="6"/>
  <c r="AK148" i="6"/>
  <c r="AL119" i="6"/>
  <c r="AN119" i="6"/>
  <c r="AL121" i="6"/>
  <c r="AN121" i="6"/>
  <c r="AL122" i="6"/>
  <c r="AN122" i="6"/>
  <c r="AL118" i="6"/>
  <c r="AK125" i="6"/>
  <c r="AN118" i="6"/>
  <c r="AI47" i="4"/>
  <c r="AH54" i="4"/>
  <c r="U47" i="13"/>
  <c r="AK47" i="4"/>
  <c r="U70" i="13"/>
  <c r="AH30" i="4"/>
  <c r="AI23" i="4"/>
  <c r="AK23" i="4"/>
  <c r="H50" i="1"/>
  <c r="H69" i="1"/>
  <c r="H68" i="1"/>
  <c r="O107" i="13"/>
  <c r="K39" i="9"/>
  <c r="L39" i="9" s="1"/>
  <c r="M39" i="9" s="1"/>
  <c r="N39" i="9" s="1"/>
  <c r="K40" i="9"/>
  <c r="L40" i="9" s="1"/>
  <c r="M40" i="9" s="1"/>
  <c r="N40" i="9" s="1"/>
  <c r="K41" i="9"/>
  <c r="L41" i="9" s="1"/>
  <c r="M41" i="9" s="1"/>
  <c r="N41" i="9" s="1"/>
  <c r="K42" i="9"/>
  <c r="L42" i="9" s="1"/>
  <c r="M42" i="9" s="1"/>
  <c r="N42" i="9" s="1"/>
  <c r="K43" i="9"/>
  <c r="L43" i="9" s="1"/>
  <c r="M43" i="9" s="1"/>
  <c r="N43" i="9" s="1"/>
  <c r="K44" i="9"/>
  <c r="L44" i="9"/>
  <c r="M44" i="9" s="1"/>
  <c r="N44" i="9" s="1"/>
  <c r="K45" i="9"/>
  <c r="L45" i="9" s="1"/>
  <c r="M45" i="9" s="1"/>
  <c r="N45" i="9" s="1"/>
  <c r="K38" i="9"/>
  <c r="L38" i="9" s="1"/>
  <c r="M38" i="9" s="1"/>
  <c r="N38" i="9" s="1"/>
  <c r="AG28" i="7" l="1"/>
  <c r="F472" i="22"/>
  <c r="F473" i="22" s="1"/>
  <c r="F474" i="22" s="1"/>
  <c r="F476" i="22" s="1"/>
  <c r="S143" i="13"/>
  <c r="H128" i="18"/>
  <c r="I128" i="18" s="1"/>
  <c r="H44" i="18"/>
  <c r="I44" i="18" s="1"/>
  <c r="AR26" i="7"/>
  <c r="AT75" i="7"/>
  <c r="AS75" i="7"/>
  <c r="AU75" i="7"/>
  <c r="AM25" i="7"/>
  <c r="G379" i="22"/>
  <c r="G380" i="22" s="1"/>
  <c r="G381" i="22" s="1"/>
  <c r="G383" i="22" s="1"/>
  <c r="U140" i="13"/>
  <c r="F348" i="22"/>
  <c r="F349" i="22" s="1"/>
  <c r="F350" i="22" s="1"/>
  <c r="F352" i="22" s="1"/>
  <c r="AG24" i="7"/>
  <c r="S139" i="13"/>
  <c r="H127" i="18"/>
  <c r="I127" i="18" s="1"/>
  <c r="H43" i="18"/>
  <c r="I43" i="18" s="1"/>
  <c r="AJ27" i="7"/>
  <c r="AO76" i="7"/>
  <c r="AL76" i="7"/>
  <c r="G423" i="22"/>
  <c r="G425" i="22" s="1"/>
  <c r="G415" i="22"/>
  <c r="AR25" i="7"/>
  <c r="AT74" i="7"/>
  <c r="AS74" i="7"/>
  <c r="AU74" i="7"/>
  <c r="AG27" i="7"/>
  <c r="F441" i="22"/>
  <c r="F442" i="22" s="1"/>
  <c r="F443" i="22" s="1"/>
  <c r="F445" i="22" s="1"/>
  <c r="S142" i="13"/>
  <c r="AJ24" i="7"/>
  <c r="AL73" i="7"/>
  <c r="AO73" i="7"/>
  <c r="AJ80" i="7"/>
  <c r="AJ28" i="7"/>
  <c r="AL77" i="7"/>
  <c r="AO77" i="7"/>
  <c r="Q467" i="22"/>
  <c r="P468" i="22"/>
  <c r="R436" i="22"/>
  <c r="Q437" i="22"/>
  <c r="Q405" i="22"/>
  <c r="P406" i="22"/>
  <c r="P374" i="22"/>
  <c r="O375" i="22"/>
  <c r="P343" i="22"/>
  <c r="O344" i="22"/>
  <c r="AU169" i="7"/>
  <c r="AS169" i="7"/>
  <c r="AR176" i="7"/>
  <c r="AT169" i="7"/>
  <c r="AT176" i="7" s="1"/>
  <c r="AS49" i="7"/>
  <c r="AU49" i="7"/>
  <c r="AT49" i="7"/>
  <c r="AM50" i="7"/>
  <c r="AL56" i="7"/>
  <c r="AP50" i="7"/>
  <c r="AO56" i="7"/>
  <c r="AP30" i="29"/>
  <c r="AU26" i="29"/>
  <c r="AV26" i="29" s="1"/>
  <c r="AU27" i="29"/>
  <c r="AU30" i="29" s="1"/>
  <c r="AV27" i="29"/>
  <c r="AV164" i="29"/>
  <c r="AX164" i="29"/>
  <c r="AV162" i="29"/>
  <c r="AU169" i="29"/>
  <c r="AX162" i="29"/>
  <c r="AV165" i="29"/>
  <c r="AX165" i="29"/>
  <c r="AV166" i="29"/>
  <c r="AX166" i="29"/>
  <c r="AV141" i="29"/>
  <c r="AX141" i="29"/>
  <c r="AV143" i="29"/>
  <c r="AX143" i="29"/>
  <c r="AV139" i="29"/>
  <c r="AX139" i="29"/>
  <c r="AU146" i="29"/>
  <c r="AV140" i="29"/>
  <c r="AX140" i="29"/>
  <c r="AV142" i="29"/>
  <c r="AX142" i="29"/>
  <c r="AV118" i="29"/>
  <c r="AX118" i="29"/>
  <c r="AV119" i="29"/>
  <c r="AX119" i="29"/>
  <c r="AV120" i="29"/>
  <c r="AX120" i="29"/>
  <c r="AV117" i="29"/>
  <c r="AX117" i="29"/>
  <c r="AV116" i="29"/>
  <c r="AX116" i="29"/>
  <c r="AU123" i="29"/>
  <c r="AV93" i="29"/>
  <c r="AU100" i="29"/>
  <c r="AX93" i="29"/>
  <c r="AV97" i="29"/>
  <c r="AX97" i="29"/>
  <c r="AV95" i="29"/>
  <c r="AX95" i="29"/>
  <c r="AV94" i="29"/>
  <c r="AX94" i="29"/>
  <c r="AV96" i="29"/>
  <c r="AX96" i="29"/>
  <c r="AV73" i="29"/>
  <c r="AX73" i="29"/>
  <c r="AV70" i="29"/>
  <c r="AU77" i="29"/>
  <c r="AX70" i="29"/>
  <c r="AV74" i="29"/>
  <c r="AX74" i="29"/>
  <c r="AV72" i="29"/>
  <c r="AX72" i="29"/>
  <c r="AV71" i="29"/>
  <c r="AX71" i="29"/>
  <c r="AV50" i="29"/>
  <c r="AX50" i="29"/>
  <c r="AV49" i="29"/>
  <c r="AX49" i="29"/>
  <c r="AV51" i="29"/>
  <c r="AX51" i="29"/>
  <c r="AV48" i="29"/>
  <c r="AX48" i="29"/>
  <c r="AV47" i="29"/>
  <c r="AU54" i="29"/>
  <c r="AX47" i="29"/>
  <c r="AV72" i="5"/>
  <c r="AX72" i="5"/>
  <c r="AV71" i="5"/>
  <c r="AX71" i="5"/>
  <c r="AV70" i="5"/>
  <c r="AU77" i="5"/>
  <c r="AX70" i="5"/>
  <c r="AV73" i="5"/>
  <c r="AX73" i="5"/>
  <c r="AV49" i="5"/>
  <c r="AX49" i="5"/>
  <c r="AV47" i="5"/>
  <c r="AX47" i="5"/>
  <c r="AU54" i="5"/>
  <c r="AV51" i="5"/>
  <c r="AX51" i="5"/>
  <c r="AV164" i="5"/>
  <c r="AX164" i="5"/>
  <c r="AV162" i="5"/>
  <c r="AU169" i="5"/>
  <c r="AX169" i="5" s="1"/>
  <c r="AX162" i="5"/>
  <c r="AV163" i="5"/>
  <c r="AX163" i="5"/>
  <c r="AV165" i="5"/>
  <c r="AX165" i="5"/>
  <c r="AV166" i="5"/>
  <c r="AX166" i="5"/>
  <c r="AV139" i="5"/>
  <c r="AU146" i="5"/>
  <c r="AX139" i="5"/>
  <c r="AV141" i="5"/>
  <c r="AX141" i="5"/>
  <c r="AV143" i="5"/>
  <c r="AX143" i="5"/>
  <c r="AV116" i="5"/>
  <c r="AX116" i="5"/>
  <c r="AV117" i="5"/>
  <c r="AX117" i="5"/>
  <c r="AV119" i="5"/>
  <c r="AX119" i="5"/>
  <c r="AV96" i="5"/>
  <c r="AX96" i="5"/>
  <c r="AV93" i="5"/>
  <c r="AX93" i="5"/>
  <c r="AU100" i="5"/>
  <c r="AV97" i="5"/>
  <c r="AX97" i="5"/>
  <c r="W47" i="13"/>
  <c r="AN47" i="4"/>
  <c r="AL47" i="4"/>
  <c r="AK54" i="4"/>
  <c r="W70" i="13"/>
  <c r="AK30" i="4"/>
  <c r="AL23" i="4"/>
  <c r="AN23" i="4"/>
  <c r="AD154" i="5"/>
  <c r="AD155" i="5"/>
  <c r="AD156" i="5"/>
  <c r="AD157" i="5"/>
  <c r="AD158" i="5"/>
  <c r="AD159" i="5"/>
  <c r="AD160" i="5"/>
  <c r="AD161" i="5"/>
  <c r="AD153" i="5"/>
  <c r="Y154" i="5"/>
  <c r="Y155" i="5"/>
  <c r="Y156" i="5"/>
  <c r="Y157" i="5"/>
  <c r="Y158" i="5"/>
  <c r="Y159" i="5"/>
  <c r="Y160" i="5"/>
  <c r="Y161" i="5"/>
  <c r="AS131" i="5"/>
  <c r="AS132" i="5"/>
  <c r="AS133" i="5"/>
  <c r="AS134" i="5"/>
  <c r="AS135" i="5"/>
  <c r="AS136" i="5"/>
  <c r="AS137" i="5"/>
  <c r="AS138" i="5"/>
  <c r="AS130" i="5"/>
  <c r="AN131" i="5"/>
  <c r="AN132" i="5"/>
  <c r="AN133" i="5"/>
  <c r="AN134" i="5"/>
  <c r="AN137" i="5"/>
  <c r="AN130" i="5"/>
  <c r="AI131" i="5"/>
  <c r="AI132" i="5"/>
  <c r="AI133" i="5"/>
  <c r="AI134" i="5"/>
  <c r="AI137" i="5"/>
  <c r="AI130" i="5"/>
  <c r="AD131" i="5"/>
  <c r="AD132" i="5"/>
  <c r="AD133" i="5"/>
  <c r="AD134" i="5"/>
  <c r="AD137" i="5"/>
  <c r="AD130" i="5"/>
  <c r="Y131" i="5"/>
  <c r="Y132" i="5"/>
  <c r="Y133" i="5"/>
  <c r="Y134" i="5"/>
  <c r="Y135" i="5"/>
  <c r="Y136" i="5"/>
  <c r="Y137" i="5"/>
  <c r="Y138" i="5"/>
  <c r="AS108" i="5"/>
  <c r="AS109" i="5"/>
  <c r="AS110" i="5"/>
  <c r="AS111" i="5"/>
  <c r="AS112" i="5"/>
  <c r="AS113" i="5"/>
  <c r="AS114" i="5"/>
  <c r="AS115" i="5"/>
  <c r="AS107" i="5"/>
  <c r="AN108" i="5"/>
  <c r="AN109" i="5"/>
  <c r="AN110" i="5"/>
  <c r="AN111" i="5"/>
  <c r="AN112" i="5"/>
  <c r="AN113" i="5"/>
  <c r="AN114" i="5"/>
  <c r="AI109" i="5"/>
  <c r="AI112" i="5"/>
  <c r="AI114" i="5"/>
  <c r="AI115" i="5"/>
  <c r="AD112" i="5"/>
  <c r="AD115" i="5"/>
  <c r="Y111" i="5"/>
  <c r="Y112" i="5"/>
  <c r="Y113" i="5"/>
  <c r="Y114" i="5"/>
  <c r="Y115" i="5"/>
  <c r="AD89" i="5"/>
  <c r="AI85" i="5"/>
  <c r="AI86" i="5"/>
  <c r="AI87" i="5"/>
  <c r="AN85" i="5"/>
  <c r="AN86" i="5"/>
  <c r="AN89" i="5"/>
  <c r="AN90" i="5"/>
  <c r="AN91" i="5"/>
  <c r="AN92" i="5"/>
  <c r="AS85" i="5"/>
  <c r="AS86" i="5"/>
  <c r="AS89" i="5"/>
  <c r="AS90" i="5"/>
  <c r="AS91" i="5"/>
  <c r="AS92" i="5"/>
  <c r="AI84" i="5"/>
  <c r="AS39" i="5"/>
  <c r="AS40" i="5"/>
  <c r="AS41" i="5"/>
  <c r="AS42" i="5"/>
  <c r="AS43" i="5"/>
  <c r="AS44" i="5"/>
  <c r="AS45" i="5"/>
  <c r="AS46" i="5"/>
  <c r="AS38" i="5"/>
  <c r="AN43" i="5"/>
  <c r="AD38" i="5"/>
  <c r="E20" i="26"/>
  <c r="AD45" i="5" s="1"/>
  <c r="E19" i="26"/>
  <c r="AD44" i="5" s="1"/>
  <c r="G183" i="26"/>
  <c r="F183" i="26"/>
  <c r="E183" i="26"/>
  <c r="D183" i="26"/>
  <c r="G202" i="26"/>
  <c r="F202" i="26"/>
  <c r="E202" i="26"/>
  <c r="G182" i="26"/>
  <c r="F182" i="26"/>
  <c r="E182" i="26"/>
  <c r="G201" i="26"/>
  <c r="F201" i="26"/>
  <c r="E201" i="26"/>
  <c r="G181" i="26"/>
  <c r="F181" i="26"/>
  <c r="E181" i="26"/>
  <c r="G180" i="26"/>
  <c r="F180" i="26"/>
  <c r="E180" i="26"/>
  <c r="D180" i="26"/>
  <c r="F63" i="12" s="1"/>
  <c r="G199" i="26"/>
  <c r="F199" i="26"/>
  <c r="E199" i="26"/>
  <c r="G179" i="26"/>
  <c r="F179" i="26"/>
  <c r="E179" i="26"/>
  <c r="E218" i="26"/>
  <c r="G198" i="26"/>
  <c r="F198" i="26"/>
  <c r="E198" i="26"/>
  <c r="D198" i="26"/>
  <c r="G178" i="26"/>
  <c r="F178" i="26"/>
  <c r="E178" i="26"/>
  <c r="D178" i="26"/>
  <c r="G129" i="18" l="1"/>
  <c r="G45" i="18"/>
  <c r="AM76" i="7"/>
  <c r="AL27" i="7"/>
  <c r="G126" i="18"/>
  <c r="G42" i="18"/>
  <c r="F454" i="22"/>
  <c r="F456" i="22" s="1"/>
  <c r="F446" i="22"/>
  <c r="AS26" i="7"/>
  <c r="AU26" i="7"/>
  <c r="W141" i="13"/>
  <c r="AT26" i="7"/>
  <c r="AL24" i="7"/>
  <c r="AM73" i="7"/>
  <c r="AL80" i="7"/>
  <c r="AP76" i="7"/>
  <c r="AO27" i="7"/>
  <c r="AP77" i="7"/>
  <c r="AO28" i="7"/>
  <c r="AL28" i="7"/>
  <c r="AM77" i="7"/>
  <c r="G130" i="18"/>
  <c r="G46" i="18"/>
  <c r="F361" i="22"/>
  <c r="F363" i="22" s="1"/>
  <c r="F353" i="22"/>
  <c r="AS25" i="7"/>
  <c r="H410" i="22"/>
  <c r="AU25" i="7"/>
  <c r="H379" i="22"/>
  <c r="W140" i="13"/>
  <c r="F477" i="22"/>
  <c r="F485" i="22"/>
  <c r="F487" i="22" s="1"/>
  <c r="AT25" i="7"/>
  <c r="AO24" i="7"/>
  <c r="AO80" i="7"/>
  <c r="AP73" i="7"/>
  <c r="G392" i="22"/>
  <c r="G394" i="22" s="1"/>
  <c r="G384" i="22"/>
  <c r="R467" i="22"/>
  <c r="Q468" i="22"/>
  <c r="S436" i="22"/>
  <c r="R437" i="22"/>
  <c r="R405" i="22"/>
  <c r="Q406" i="22"/>
  <c r="Q374" i="22"/>
  <c r="P375" i="22"/>
  <c r="Q343" i="22"/>
  <c r="P344" i="22"/>
  <c r="AR50" i="7"/>
  <c r="AP56" i="7"/>
  <c r="AX26" i="29"/>
  <c r="AX27" i="29"/>
  <c r="G197" i="26"/>
  <c r="F197" i="26"/>
  <c r="E197" i="26"/>
  <c r="D197" i="26"/>
  <c r="G177" i="26"/>
  <c r="F177" i="26"/>
  <c r="E177" i="26"/>
  <c r="D177" i="26"/>
  <c r="G196" i="26"/>
  <c r="F196" i="26"/>
  <c r="E196" i="26"/>
  <c r="D196" i="26"/>
  <c r="G176" i="26"/>
  <c r="F176" i="26"/>
  <c r="E176" i="26"/>
  <c r="D176" i="26"/>
  <c r="G195" i="26"/>
  <c r="F195" i="26"/>
  <c r="E195" i="26"/>
  <c r="D195" i="26"/>
  <c r="G175" i="26"/>
  <c r="F175" i="26"/>
  <c r="E175" i="26"/>
  <c r="D175" i="26"/>
  <c r="AM28" i="7" l="1"/>
  <c r="G472" i="22"/>
  <c r="G473" i="22" s="1"/>
  <c r="G474" i="22" s="1"/>
  <c r="G476" i="22" s="1"/>
  <c r="U143" i="13"/>
  <c r="I410" i="22"/>
  <c r="H411" i="22"/>
  <c r="H412" i="22" s="1"/>
  <c r="H414" i="22" s="1"/>
  <c r="AR76" i="7"/>
  <c r="AP27" i="7"/>
  <c r="AR77" i="7"/>
  <c r="AP28" i="7"/>
  <c r="AM27" i="7"/>
  <c r="G441" i="22"/>
  <c r="U142" i="13"/>
  <c r="I379" i="22"/>
  <c r="H380" i="22"/>
  <c r="H381" i="22" s="1"/>
  <c r="H383" i="22" s="1"/>
  <c r="AP24" i="7"/>
  <c r="AR73" i="7"/>
  <c r="AP80" i="7"/>
  <c r="G348" i="22"/>
  <c r="G349" i="22" s="1"/>
  <c r="G350" i="22" s="1"/>
  <c r="G352" i="22" s="1"/>
  <c r="AM24" i="7"/>
  <c r="U139" i="13"/>
  <c r="S467" i="22"/>
  <c r="R468" i="22"/>
  <c r="T436" i="22"/>
  <c r="S437" i="22"/>
  <c r="S405" i="22"/>
  <c r="R406" i="22"/>
  <c r="R374" i="22"/>
  <c r="Q375" i="22"/>
  <c r="Q344" i="22"/>
  <c r="R343" i="22"/>
  <c r="AU50" i="7"/>
  <c r="AS50" i="7"/>
  <c r="AR56" i="7"/>
  <c r="AT50" i="7"/>
  <c r="AT56" i="7" s="1"/>
  <c r="AJ62" i="4"/>
  <c r="AJ63" i="4"/>
  <c r="AJ64" i="4"/>
  <c r="AJ65" i="4"/>
  <c r="AJ66" i="4"/>
  <c r="AJ67" i="4"/>
  <c r="AJ68" i="4"/>
  <c r="AJ69" i="4"/>
  <c r="X65" i="4"/>
  <c r="D79" i="27" s="1"/>
  <c r="X66" i="4"/>
  <c r="D80" i="27" s="1"/>
  <c r="X68" i="4"/>
  <c r="D82" i="27" s="1"/>
  <c r="G361" i="22" l="1"/>
  <c r="G363" i="22" s="1"/>
  <c r="G353" i="22"/>
  <c r="H130" i="18"/>
  <c r="I130" i="18" s="1"/>
  <c r="H46" i="18"/>
  <c r="I46" i="18" s="1"/>
  <c r="AR28" i="7"/>
  <c r="AU77" i="7"/>
  <c r="AS77" i="7"/>
  <c r="AT77" i="7"/>
  <c r="H126" i="18"/>
  <c r="I126" i="18" s="1"/>
  <c r="H42" i="18"/>
  <c r="I42" i="18" s="1"/>
  <c r="H423" i="22"/>
  <c r="H425" i="22" s="1"/>
  <c r="H415" i="22"/>
  <c r="G485" i="22"/>
  <c r="G487" i="22" s="1"/>
  <c r="G477" i="22"/>
  <c r="G442" i="22"/>
  <c r="G443" i="22" s="1"/>
  <c r="G445" i="22" s="1"/>
  <c r="H129" i="18"/>
  <c r="I129" i="18" s="1"/>
  <c r="H45" i="18"/>
  <c r="I45" i="18" s="1"/>
  <c r="AR27" i="7"/>
  <c r="AU76" i="7"/>
  <c r="AS76" i="7"/>
  <c r="AT76" i="7"/>
  <c r="H392" i="22"/>
  <c r="H394" i="22" s="1"/>
  <c r="H384" i="22"/>
  <c r="I411" i="22"/>
  <c r="I412" i="22" s="1"/>
  <c r="I414" i="22" s="1"/>
  <c r="J410" i="22"/>
  <c r="AR24" i="7"/>
  <c r="AR80" i="7"/>
  <c r="AS73" i="7"/>
  <c r="AU73" i="7"/>
  <c r="AT73" i="7"/>
  <c r="J379" i="22"/>
  <c r="I380" i="22"/>
  <c r="I381" i="22" s="1"/>
  <c r="I383" i="22" s="1"/>
  <c r="T467" i="22"/>
  <c r="S468" i="22"/>
  <c r="U436" i="22"/>
  <c r="T437" i="22"/>
  <c r="T405" i="22"/>
  <c r="S406" i="22"/>
  <c r="S374" i="22"/>
  <c r="R375" i="22"/>
  <c r="S343" i="22"/>
  <c r="R344" i="22"/>
  <c r="F61" i="26"/>
  <c r="AI92" i="5" s="1"/>
  <c r="E61" i="26"/>
  <c r="AD92" i="5" s="1"/>
  <c r="G21" i="26"/>
  <c r="AN46" i="5" s="1"/>
  <c r="F21" i="26"/>
  <c r="AI46" i="5" s="1"/>
  <c r="E21" i="26"/>
  <c r="AD46" i="5" s="1"/>
  <c r="E80" i="26"/>
  <c r="AD114" i="5" s="1"/>
  <c r="F60" i="26"/>
  <c r="AI91" i="5" s="1"/>
  <c r="E60" i="26"/>
  <c r="G20" i="26"/>
  <c r="F20" i="26"/>
  <c r="F79" i="26"/>
  <c r="AI113" i="5" s="1"/>
  <c r="E79" i="26"/>
  <c r="AD113" i="5" s="1"/>
  <c r="F59" i="26"/>
  <c r="AI90" i="5" s="1"/>
  <c r="E59" i="26"/>
  <c r="AD90" i="5" s="1"/>
  <c r="G19" i="26"/>
  <c r="AN44" i="5" s="1"/>
  <c r="F19" i="26"/>
  <c r="AI44" i="5" s="1"/>
  <c r="F58" i="26"/>
  <c r="AI89" i="5" s="1"/>
  <c r="F18" i="26"/>
  <c r="AI43" i="5" s="1"/>
  <c r="E18" i="26"/>
  <c r="AD43" i="5" s="1"/>
  <c r="F77" i="26"/>
  <c r="AI111" i="5" s="1"/>
  <c r="E77" i="26"/>
  <c r="AD111" i="5" s="1"/>
  <c r="G57" i="26"/>
  <c r="F57" i="26"/>
  <c r="E57" i="26"/>
  <c r="AD88" i="5" s="1"/>
  <c r="G17" i="26"/>
  <c r="F17" i="26"/>
  <c r="E17" i="26"/>
  <c r="F76" i="26"/>
  <c r="AI110" i="5" s="1"/>
  <c r="E76" i="26"/>
  <c r="AD110" i="5" s="1"/>
  <c r="G56" i="26"/>
  <c r="E56" i="26"/>
  <c r="AD87" i="5" s="1"/>
  <c r="G16" i="26"/>
  <c r="F16" i="26"/>
  <c r="E16" i="26"/>
  <c r="E75" i="26"/>
  <c r="AD109" i="5" s="1"/>
  <c r="E55" i="26"/>
  <c r="AD86" i="5" s="1"/>
  <c r="G15" i="26"/>
  <c r="F15" i="26"/>
  <c r="E15" i="26"/>
  <c r="F74" i="26"/>
  <c r="AI108" i="5" s="1"/>
  <c r="E74" i="26"/>
  <c r="AD108" i="5" s="1"/>
  <c r="E54" i="26"/>
  <c r="AD85" i="5" s="1"/>
  <c r="G14" i="26"/>
  <c r="F14" i="26"/>
  <c r="E14" i="26"/>
  <c r="E73" i="26"/>
  <c r="E53" i="26"/>
  <c r="G13" i="26"/>
  <c r="F13" i="26"/>
  <c r="D61" i="26"/>
  <c r="F66" i="12" s="1"/>
  <c r="D21" i="26"/>
  <c r="D59" i="26"/>
  <c r="F64" i="12" s="1"/>
  <c r="D19" i="26"/>
  <c r="D76" i="26"/>
  <c r="D56" i="26"/>
  <c r="F61" i="12" s="1"/>
  <c r="D16" i="26"/>
  <c r="D75" i="26"/>
  <c r="D55" i="26"/>
  <c r="F60" i="12" s="1"/>
  <c r="D15" i="26"/>
  <c r="D74" i="26"/>
  <c r="D54" i="26"/>
  <c r="F59" i="12" s="1"/>
  <c r="D14" i="26"/>
  <c r="D73" i="26"/>
  <c r="D53" i="26"/>
  <c r="G454" i="22" l="1"/>
  <c r="G456" i="22" s="1"/>
  <c r="G446" i="22"/>
  <c r="J411" i="22"/>
  <c r="J412" i="22" s="1"/>
  <c r="J414" i="22" s="1"/>
  <c r="K410" i="22"/>
  <c r="I384" i="22"/>
  <c r="I392" i="22"/>
  <c r="I415" i="22"/>
  <c r="I423" i="22"/>
  <c r="I394" i="22"/>
  <c r="K379" i="22"/>
  <c r="J380" i="22"/>
  <c r="J381" i="22" s="1"/>
  <c r="J383" i="22" s="1"/>
  <c r="AT80" i="7"/>
  <c r="AS27" i="7"/>
  <c r="H441" i="22"/>
  <c r="AU27" i="7"/>
  <c r="W142" i="13"/>
  <c r="AT27" i="7"/>
  <c r="I425" i="22"/>
  <c r="AU28" i="7"/>
  <c r="H472" i="22"/>
  <c r="AS28" i="7"/>
  <c r="W143" i="13"/>
  <c r="AT28" i="7"/>
  <c r="AU24" i="7"/>
  <c r="H348" i="22"/>
  <c r="AS24" i="7"/>
  <c r="W139" i="13"/>
  <c r="AT24" i="7"/>
  <c r="U467" i="22"/>
  <c r="T468" i="22"/>
  <c r="V436" i="22"/>
  <c r="U437" i="22"/>
  <c r="U405" i="22"/>
  <c r="T406" i="22"/>
  <c r="T374" i="22"/>
  <c r="S375" i="22"/>
  <c r="T343" i="22"/>
  <c r="S344" i="22"/>
  <c r="AD107" i="5"/>
  <c r="E89" i="26"/>
  <c r="F80" i="12"/>
  <c r="D89" i="26"/>
  <c r="E69" i="26"/>
  <c r="AI88" i="5"/>
  <c r="F69" i="26"/>
  <c r="F58" i="12"/>
  <c r="D69" i="26"/>
  <c r="E29" i="26"/>
  <c r="AN38" i="5"/>
  <c r="G29" i="26"/>
  <c r="AI38" i="5"/>
  <c r="F29" i="26"/>
  <c r="X67" i="4"/>
  <c r="D81" i="27" s="1"/>
  <c r="X64" i="4"/>
  <c r="D78" i="27" s="1"/>
  <c r="AI40" i="5"/>
  <c r="AD63" i="4"/>
  <c r="AD91" i="5"/>
  <c r="AA68" i="4"/>
  <c r="AN39" i="5"/>
  <c r="AG62" i="4"/>
  <c r="AN40" i="5"/>
  <c r="AG63" i="4"/>
  <c r="AN42" i="5"/>
  <c r="AG65" i="4"/>
  <c r="Y109" i="5"/>
  <c r="F82" i="12"/>
  <c r="AD39" i="5"/>
  <c r="AA62" i="4"/>
  <c r="AI41" i="5"/>
  <c r="AD64" i="4"/>
  <c r="AN45" i="5"/>
  <c r="AG68" i="4"/>
  <c r="AI42" i="5"/>
  <c r="AD65" i="4"/>
  <c r="Y40" i="5"/>
  <c r="X63" i="4"/>
  <c r="D77" i="27" s="1"/>
  <c r="X46" i="6"/>
  <c r="Y46" i="5"/>
  <c r="X69" i="4"/>
  <c r="D83" i="27" s="1"/>
  <c r="AD40" i="5"/>
  <c r="AA63" i="4"/>
  <c r="AD42" i="5"/>
  <c r="AA65" i="4"/>
  <c r="Y39" i="5"/>
  <c r="X62" i="4"/>
  <c r="D76" i="27" s="1"/>
  <c r="AI39" i="5"/>
  <c r="AD62" i="4"/>
  <c r="AN41" i="5"/>
  <c r="AG64" i="4"/>
  <c r="Y108" i="5"/>
  <c r="F81" i="12"/>
  <c r="Y110" i="5"/>
  <c r="AS87" i="5"/>
  <c r="AN87" i="5"/>
  <c r="AD84" i="5"/>
  <c r="AA61" i="4"/>
  <c r="AD41" i="5"/>
  <c r="AA64" i="4"/>
  <c r="AS88" i="5"/>
  <c r="AN88" i="5"/>
  <c r="AI45" i="5"/>
  <c r="AD68" i="4"/>
  <c r="D13" i="26"/>
  <c r="D29" i="26" s="1"/>
  <c r="D12" i="26"/>
  <c r="E12" i="26" s="1"/>
  <c r="F12" i="26" s="1"/>
  <c r="G12" i="26" s="1"/>
  <c r="H12" i="26" s="1"/>
  <c r="I259" i="26"/>
  <c r="K259" i="26"/>
  <c r="K260" i="26"/>
  <c r="K261" i="26"/>
  <c r="K262" i="26"/>
  <c r="K263" i="26"/>
  <c r="K264" i="26"/>
  <c r="K265" i="26"/>
  <c r="K258" i="26"/>
  <c r="AF20" i="9"/>
  <c r="AJ20" i="9" s="1"/>
  <c r="AN20" i="9" s="1"/>
  <c r="AR20" i="9" s="1"/>
  <c r="J310" i="22"/>
  <c r="I265" i="26"/>
  <c r="I264" i="26"/>
  <c r="I263" i="26"/>
  <c r="I262" i="26"/>
  <c r="I261" i="26"/>
  <c r="I260" i="26"/>
  <c r="F258" i="26"/>
  <c r="E258" i="26"/>
  <c r="D258" i="26"/>
  <c r="L379" i="22" l="1"/>
  <c r="K380" i="22"/>
  <c r="K381" i="22" s="1"/>
  <c r="K383" i="22" s="1"/>
  <c r="I472" i="22"/>
  <c r="H473" i="22"/>
  <c r="H474" i="22" s="1"/>
  <c r="H476" i="22" s="1"/>
  <c r="J384" i="22"/>
  <c r="J392" i="22"/>
  <c r="J394" i="22" s="1"/>
  <c r="K411" i="22"/>
  <c r="K412" i="22" s="1"/>
  <c r="K414" i="22" s="1"/>
  <c r="L410" i="22"/>
  <c r="J415" i="22"/>
  <c r="J423" i="22"/>
  <c r="J425" i="22" s="1"/>
  <c r="I348" i="22"/>
  <c r="H349" i="22"/>
  <c r="H350" i="22" s="1"/>
  <c r="H352" i="22" s="1"/>
  <c r="I441" i="22"/>
  <c r="H442" i="22"/>
  <c r="H443" i="22" s="1"/>
  <c r="H445" i="22" s="1"/>
  <c r="V467" i="22"/>
  <c r="U468" i="22"/>
  <c r="V437" i="22"/>
  <c r="W436" i="22"/>
  <c r="V405" i="22"/>
  <c r="U406" i="22"/>
  <c r="U374" i="22"/>
  <c r="T375" i="22"/>
  <c r="U343" i="22"/>
  <c r="T344" i="22"/>
  <c r="I29" i="26"/>
  <c r="I258" i="26"/>
  <c r="K310" i="22"/>
  <c r="L310" i="22" s="1"/>
  <c r="M310" i="22" s="1"/>
  <c r="N310" i="22" s="1"/>
  <c r="O310" i="22" s="1"/>
  <c r="P310" i="22" s="1"/>
  <c r="Q310" i="22" s="1"/>
  <c r="R310" i="22" s="1"/>
  <c r="S310" i="22" s="1"/>
  <c r="T310" i="22" s="1"/>
  <c r="U310" i="22" s="1"/>
  <c r="V310" i="22" s="1"/>
  <c r="W310" i="22" s="1"/>
  <c r="X310" i="22" s="1"/>
  <c r="Y310" i="22" s="1"/>
  <c r="Z310" i="22" s="1"/>
  <c r="AA310" i="22" s="1"/>
  <c r="AT22" i="5"/>
  <c r="E96" i="19"/>
  <c r="E97" i="19" s="1"/>
  <c r="D122" i="27" s="1"/>
  <c r="F95" i="19"/>
  <c r="E120" i="27" s="1"/>
  <c r="H274" i="22"/>
  <c r="I274" i="22" s="1"/>
  <c r="J274" i="22" s="1"/>
  <c r="K274" i="22" s="1"/>
  <c r="L274" i="22" s="1"/>
  <c r="M274" i="22" s="1"/>
  <c r="N274" i="22" s="1"/>
  <c r="O274" i="22" s="1"/>
  <c r="P274" i="22" s="1"/>
  <c r="Q274" i="22" s="1"/>
  <c r="R274" i="22" s="1"/>
  <c r="S274" i="22" s="1"/>
  <c r="T274" i="22" s="1"/>
  <c r="U274" i="22" s="1"/>
  <c r="V274" i="22" s="1"/>
  <c r="W274" i="22" s="1"/>
  <c r="X274" i="22" s="1"/>
  <c r="Y274" i="22" s="1"/>
  <c r="Z274" i="22" s="1"/>
  <c r="AA274" i="22" s="1"/>
  <c r="H238" i="22"/>
  <c r="I238" i="22" s="1"/>
  <c r="J238" i="22" s="1"/>
  <c r="K238" i="22" s="1"/>
  <c r="L238" i="22" s="1"/>
  <c r="M238" i="22" s="1"/>
  <c r="N238" i="22" s="1"/>
  <c r="O238" i="22" s="1"/>
  <c r="P238" i="22" s="1"/>
  <c r="Q238" i="22" s="1"/>
  <c r="R238" i="22" s="1"/>
  <c r="S238" i="22" s="1"/>
  <c r="T238" i="22" s="1"/>
  <c r="U238" i="22" s="1"/>
  <c r="V238" i="22" s="1"/>
  <c r="W238" i="22" s="1"/>
  <c r="X238" i="22" s="1"/>
  <c r="Y238" i="22" s="1"/>
  <c r="Z238" i="22" s="1"/>
  <c r="AA238" i="22" s="1"/>
  <c r="H202" i="22"/>
  <c r="I202" i="22" s="1"/>
  <c r="J202" i="22" s="1"/>
  <c r="K202" i="22" s="1"/>
  <c r="L202" i="22" s="1"/>
  <c r="M202" i="22" s="1"/>
  <c r="N202" i="22" s="1"/>
  <c r="O202" i="22" s="1"/>
  <c r="P202" i="22" s="1"/>
  <c r="Q202" i="22" s="1"/>
  <c r="R202" i="22" s="1"/>
  <c r="S202" i="22" s="1"/>
  <c r="T202" i="22" s="1"/>
  <c r="U202" i="22" s="1"/>
  <c r="V202" i="22" s="1"/>
  <c r="W202" i="22" s="1"/>
  <c r="X202" i="22" s="1"/>
  <c r="Y202" i="22" s="1"/>
  <c r="Z202" i="22" s="1"/>
  <c r="AA202" i="22" s="1"/>
  <c r="H166" i="22"/>
  <c r="I166" i="22" s="1"/>
  <c r="J166" i="22" s="1"/>
  <c r="K166" i="22" s="1"/>
  <c r="L166" i="22" s="1"/>
  <c r="M166" i="22" s="1"/>
  <c r="N166" i="22" s="1"/>
  <c r="O166" i="22" s="1"/>
  <c r="P166" i="22" s="1"/>
  <c r="Q166" i="22" s="1"/>
  <c r="R166" i="22" s="1"/>
  <c r="S166" i="22" s="1"/>
  <c r="T166" i="22" s="1"/>
  <c r="U166" i="22" s="1"/>
  <c r="V166" i="22" s="1"/>
  <c r="W166" i="22" s="1"/>
  <c r="X166" i="22" s="1"/>
  <c r="Y166" i="22" s="1"/>
  <c r="Z166" i="22" s="1"/>
  <c r="AA166" i="22" s="1"/>
  <c r="H130" i="22"/>
  <c r="I130" i="22" s="1"/>
  <c r="J130" i="22" s="1"/>
  <c r="K130" i="22" s="1"/>
  <c r="L130" i="22" s="1"/>
  <c r="M130" i="22" s="1"/>
  <c r="N130" i="22" s="1"/>
  <c r="O130" i="22" s="1"/>
  <c r="P130" i="22" s="1"/>
  <c r="Q130" i="22" s="1"/>
  <c r="R130" i="22" s="1"/>
  <c r="S130" i="22" s="1"/>
  <c r="T130" i="22" s="1"/>
  <c r="U130" i="22" s="1"/>
  <c r="V130" i="22" s="1"/>
  <c r="W130" i="22" s="1"/>
  <c r="X130" i="22" s="1"/>
  <c r="Y130" i="22" s="1"/>
  <c r="Z130" i="22" s="1"/>
  <c r="AA130" i="22" s="1"/>
  <c r="J94" i="22"/>
  <c r="K94" i="22" s="1"/>
  <c r="L94" i="22" s="1"/>
  <c r="M94" i="22" s="1"/>
  <c r="N94" i="22" s="1"/>
  <c r="O94" i="22" s="1"/>
  <c r="P94" i="22" s="1"/>
  <c r="Q94" i="22" s="1"/>
  <c r="R94" i="22" s="1"/>
  <c r="S94" i="22" s="1"/>
  <c r="T94" i="22" s="1"/>
  <c r="U94" i="22" s="1"/>
  <c r="V94" i="22" s="1"/>
  <c r="W94" i="22" s="1"/>
  <c r="X94" i="22" s="1"/>
  <c r="Y94" i="22" s="1"/>
  <c r="Z94" i="22" s="1"/>
  <c r="AA94" i="22" s="1"/>
  <c r="J58" i="22"/>
  <c r="K58" i="22" s="1"/>
  <c r="L58" i="22" s="1"/>
  <c r="M58" i="22" s="1"/>
  <c r="N58" i="22" s="1"/>
  <c r="O58" i="22" s="1"/>
  <c r="P58" i="22" s="1"/>
  <c r="Q58" i="22" s="1"/>
  <c r="R58" i="22" s="1"/>
  <c r="S58" i="22" s="1"/>
  <c r="T58" i="22" s="1"/>
  <c r="U58" i="22" s="1"/>
  <c r="V58" i="22" s="1"/>
  <c r="W58" i="22" s="1"/>
  <c r="X58" i="22" s="1"/>
  <c r="Y58" i="22" s="1"/>
  <c r="Z58" i="22" s="1"/>
  <c r="AA58" i="22" s="1"/>
  <c r="AT17" i="5"/>
  <c r="AT18" i="5"/>
  <c r="AT20" i="5"/>
  <c r="D239" i="26"/>
  <c r="H239" i="26"/>
  <c r="E240" i="26"/>
  <c r="F240" i="26"/>
  <c r="G240" i="26"/>
  <c r="H240" i="26"/>
  <c r="H241" i="26"/>
  <c r="H242" i="26"/>
  <c r="H243" i="26"/>
  <c r="H238" i="26"/>
  <c r="D238" i="26"/>
  <c r="K415" i="22" l="1"/>
  <c r="K423" i="22"/>
  <c r="K425" i="22" s="1"/>
  <c r="H446" i="22"/>
  <c r="H454" i="22"/>
  <c r="H456" i="22" s="1"/>
  <c r="H485" i="22"/>
  <c r="H487" i="22" s="1"/>
  <c r="H477" i="22"/>
  <c r="J441" i="22"/>
  <c r="I442" i="22"/>
  <c r="I443" i="22" s="1"/>
  <c r="I445" i="22" s="1"/>
  <c r="J472" i="22"/>
  <c r="I473" i="22"/>
  <c r="I474" i="22" s="1"/>
  <c r="I476" i="22" s="1"/>
  <c r="H361" i="22"/>
  <c r="H363" i="22" s="1"/>
  <c r="H353" i="22"/>
  <c r="K384" i="22"/>
  <c r="K392" i="22"/>
  <c r="K394" i="22" s="1"/>
  <c r="L411" i="22"/>
  <c r="L412" i="22" s="1"/>
  <c r="L414" i="22" s="1"/>
  <c r="M410" i="22"/>
  <c r="J348" i="22"/>
  <c r="I349" i="22"/>
  <c r="I350" i="22" s="1"/>
  <c r="I352" i="22" s="1"/>
  <c r="M379" i="22"/>
  <c r="L380" i="22"/>
  <c r="L381" i="22" s="1"/>
  <c r="L383" i="22" s="1"/>
  <c r="V468" i="22"/>
  <c r="W467" i="22"/>
  <c r="W437" i="22"/>
  <c r="X436" i="22"/>
  <c r="V406" i="22"/>
  <c r="W405" i="22"/>
  <c r="V374" i="22"/>
  <c r="U375" i="22"/>
  <c r="V343" i="22"/>
  <c r="U344" i="22"/>
  <c r="G95" i="19"/>
  <c r="H95" i="19" s="1"/>
  <c r="I95" i="19" s="1"/>
  <c r="F96" i="19"/>
  <c r="E121" i="27" s="1"/>
  <c r="D121" i="27"/>
  <c r="AT21" i="5"/>
  <c r="AT19" i="5"/>
  <c r="AT16" i="5"/>
  <c r="AT15" i="5"/>
  <c r="F97" i="19"/>
  <c r="E98" i="19"/>
  <c r="D123" i="27" s="1"/>
  <c r="D236" i="26"/>
  <c r="E236" i="26"/>
  <c r="F236" i="26"/>
  <c r="G236" i="26"/>
  <c r="H236" i="26"/>
  <c r="D237" i="26"/>
  <c r="E237" i="26"/>
  <c r="F237" i="26"/>
  <c r="G237" i="26"/>
  <c r="H237" i="26"/>
  <c r="E235" i="26"/>
  <c r="F235" i="26"/>
  <c r="G235" i="26"/>
  <c r="H235" i="26"/>
  <c r="D216" i="26"/>
  <c r="E216" i="26"/>
  <c r="F216" i="26"/>
  <c r="G216" i="26"/>
  <c r="H216" i="26"/>
  <c r="D217" i="26"/>
  <c r="E217" i="26"/>
  <c r="F217" i="26"/>
  <c r="G217" i="26"/>
  <c r="H217" i="26"/>
  <c r="H218" i="26"/>
  <c r="H219" i="26"/>
  <c r="H220" i="26"/>
  <c r="H221" i="26"/>
  <c r="H222" i="26"/>
  <c r="H223" i="26"/>
  <c r="E215" i="26"/>
  <c r="F215" i="26"/>
  <c r="G215" i="26"/>
  <c r="H215" i="26"/>
  <c r="H196" i="26"/>
  <c r="H197" i="26"/>
  <c r="H198" i="26"/>
  <c r="H199" i="26"/>
  <c r="H200" i="26"/>
  <c r="H201" i="26"/>
  <c r="H202" i="26"/>
  <c r="H203" i="26"/>
  <c r="H195" i="26"/>
  <c r="H176" i="26"/>
  <c r="H177" i="26"/>
  <c r="H178" i="26"/>
  <c r="H179" i="26"/>
  <c r="H180" i="26"/>
  <c r="H181" i="26"/>
  <c r="H182" i="26"/>
  <c r="H183" i="26"/>
  <c r="I121" i="26"/>
  <c r="I120" i="26"/>
  <c r="I119" i="26"/>
  <c r="I118" i="26"/>
  <c r="I117" i="26"/>
  <c r="I116" i="26"/>
  <c r="I115" i="26"/>
  <c r="I114" i="26"/>
  <c r="D113" i="26"/>
  <c r="G101" i="26"/>
  <c r="AN138" i="5" s="1"/>
  <c r="F101" i="26"/>
  <c r="E101" i="26"/>
  <c r="D223" i="26"/>
  <c r="G99" i="26"/>
  <c r="F99" i="26"/>
  <c r="E99" i="26"/>
  <c r="G98" i="26"/>
  <c r="F98" i="26"/>
  <c r="E98" i="26"/>
  <c r="D218" i="26"/>
  <c r="I95" i="26"/>
  <c r="I94" i="26"/>
  <c r="D93" i="26"/>
  <c r="D109" i="26" s="1"/>
  <c r="G81" i="26"/>
  <c r="G73" i="26"/>
  <c r="F73" i="26"/>
  <c r="F89" i="26" s="1"/>
  <c r="D179" i="26"/>
  <c r="H53" i="26"/>
  <c r="G53" i="26"/>
  <c r="G69" i="26" s="1"/>
  <c r="H40" i="26"/>
  <c r="H39" i="26"/>
  <c r="H38" i="26"/>
  <c r="H37" i="26"/>
  <c r="H36" i="26"/>
  <c r="H35" i="26"/>
  <c r="H34" i="26"/>
  <c r="H33" i="26"/>
  <c r="Z45" i="5"/>
  <c r="Z44" i="5"/>
  <c r="Z42" i="5"/>
  <c r="Z41" i="5"/>
  <c r="D34" i="26"/>
  <c r="F33" i="26"/>
  <c r="I12" i="26"/>
  <c r="E32" i="3"/>
  <c r="F32" i="3"/>
  <c r="G32" i="3"/>
  <c r="D32" i="3"/>
  <c r="I477" i="22" l="1"/>
  <c r="I485" i="22"/>
  <c r="I446" i="22"/>
  <c r="I454" i="22"/>
  <c r="N379" i="22"/>
  <c r="M380" i="22"/>
  <c r="M381" i="22" s="1"/>
  <c r="M383" i="22" s="1"/>
  <c r="J442" i="22"/>
  <c r="J443" i="22" s="1"/>
  <c r="J445" i="22" s="1"/>
  <c r="K441" i="22"/>
  <c r="I361" i="22"/>
  <c r="I363" i="22" s="1"/>
  <c r="I353" i="22"/>
  <c r="K348" i="22"/>
  <c r="J349" i="22"/>
  <c r="J350" i="22" s="1"/>
  <c r="J352" i="22" s="1"/>
  <c r="I487" i="22"/>
  <c r="M411" i="22"/>
  <c r="M412" i="22" s="1"/>
  <c r="M414" i="22" s="1"/>
  <c r="N410" i="22"/>
  <c r="I456" i="22"/>
  <c r="L423" i="22"/>
  <c r="L425" i="22" s="1"/>
  <c r="L415" i="22"/>
  <c r="K472" i="22"/>
  <c r="J473" i="22"/>
  <c r="J474" i="22" s="1"/>
  <c r="J476" i="22" s="1"/>
  <c r="L384" i="22"/>
  <c r="L392" i="22"/>
  <c r="L394" i="22" s="1"/>
  <c r="W468" i="22"/>
  <c r="X467" i="22"/>
  <c r="X437" i="22"/>
  <c r="Y436" i="22"/>
  <c r="W406" i="22"/>
  <c r="X405" i="22"/>
  <c r="V375" i="22"/>
  <c r="W374" i="22"/>
  <c r="W343" i="22"/>
  <c r="V344" i="22"/>
  <c r="G96" i="19"/>
  <c r="H96" i="19" s="1"/>
  <c r="I96" i="19" s="1"/>
  <c r="F109" i="26"/>
  <c r="G109" i="26"/>
  <c r="E109" i="26"/>
  <c r="AN107" i="5"/>
  <c r="G89" i="26"/>
  <c r="H49" i="26"/>
  <c r="AJ61" i="4"/>
  <c r="H69" i="26"/>
  <c r="AI135" i="5"/>
  <c r="AD66" i="4"/>
  <c r="AD136" i="5"/>
  <c r="AA67" i="4"/>
  <c r="AI136" i="5"/>
  <c r="AD67" i="4"/>
  <c r="AN136" i="5"/>
  <c r="AG67" i="4"/>
  <c r="AS84" i="5"/>
  <c r="AN84" i="5"/>
  <c r="AG61" i="4"/>
  <c r="AN115" i="5"/>
  <c r="AG69" i="4"/>
  <c r="AI107" i="5"/>
  <c r="AD61" i="4"/>
  <c r="AD138" i="5"/>
  <c r="AA69" i="4"/>
  <c r="AI138" i="5"/>
  <c r="AD69" i="4"/>
  <c r="AN135" i="5"/>
  <c r="AG66" i="4"/>
  <c r="Y130" i="5"/>
  <c r="X61" i="4"/>
  <c r="D75" i="27" s="1"/>
  <c r="AD135" i="5"/>
  <c r="AA66" i="4"/>
  <c r="D38" i="26"/>
  <c r="Z43" i="5"/>
  <c r="F35" i="26"/>
  <c r="E99" i="19"/>
  <c r="D124" i="27" s="1"/>
  <c r="F98" i="19"/>
  <c r="G97" i="19"/>
  <c r="H97" i="19" s="1"/>
  <c r="I97" i="19" s="1"/>
  <c r="E122" i="27"/>
  <c r="D215" i="26"/>
  <c r="I74" i="26"/>
  <c r="I75" i="26"/>
  <c r="I77" i="26"/>
  <c r="I78" i="26"/>
  <c r="I79" i="26"/>
  <c r="I81" i="26"/>
  <c r="E223" i="26"/>
  <c r="E36" i="26"/>
  <c r="E40" i="26"/>
  <c r="F40" i="26"/>
  <c r="AO21" i="5"/>
  <c r="G34" i="26"/>
  <c r="G35" i="26"/>
  <c r="G37" i="26"/>
  <c r="AO18" i="5"/>
  <c r="G38" i="26"/>
  <c r="G40" i="26"/>
  <c r="AT14" i="5"/>
  <c r="I56" i="26"/>
  <c r="D33" i="26"/>
  <c r="I14" i="26"/>
  <c r="X85" i="4"/>
  <c r="D97" i="27" s="1"/>
  <c r="I15" i="26"/>
  <c r="X86" i="4"/>
  <c r="D98" i="27" s="1"/>
  <c r="D36" i="26"/>
  <c r="X87" i="4"/>
  <c r="D99" i="27" s="1"/>
  <c r="D37" i="26"/>
  <c r="X88" i="4"/>
  <c r="D100" i="27" s="1"/>
  <c r="I18" i="26"/>
  <c r="X89" i="4"/>
  <c r="D101" i="27" s="1"/>
  <c r="X90" i="4"/>
  <c r="D102" i="27" s="1"/>
  <c r="X91" i="4"/>
  <c r="D103" i="27" s="1"/>
  <c r="E41" i="26"/>
  <c r="I54" i="26"/>
  <c r="I55" i="26"/>
  <c r="E35" i="26"/>
  <c r="E39" i="26"/>
  <c r="F41" i="26"/>
  <c r="AJ18" i="5"/>
  <c r="AJ20" i="5"/>
  <c r="AJ21" i="5"/>
  <c r="D219" i="26"/>
  <c r="D235" i="26"/>
  <c r="E33" i="26"/>
  <c r="E37" i="26"/>
  <c r="AO19" i="5"/>
  <c r="D199" i="26"/>
  <c r="E34" i="26"/>
  <c r="E38" i="26"/>
  <c r="F34" i="26"/>
  <c r="F36" i="26"/>
  <c r="F38" i="26"/>
  <c r="G41" i="26"/>
  <c r="G33" i="26"/>
  <c r="AO14" i="5"/>
  <c r="G36" i="26"/>
  <c r="G39" i="26"/>
  <c r="I96" i="26"/>
  <c r="I100" i="26"/>
  <c r="I101" i="26"/>
  <c r="D203" i="26"/>
  <c r="D222" i="26"/>
  <c r="I76" i="26"/>
  <c r="I58" i="26"/>
  <c r="I99" i="26"/>
  <c r="I97" i="26"/>
  <c r="F37" i="26"/>
  <c r="I57" i="26"/>
  <c r="F39" i="26"/>
  <c r="I19" i="26"/>
  <c r="I59" i="26"/>
  <c r="I80" i="26"/>
  <c r="I20" i="26"/>
  <c r="I60" i="26"/>
  <c r="H175" i="26"/>
  <c r="D40" i="26"/>
  <c r="I98" i="26"/>
  <c r="I13" i="26"/>
  <c r="I17" i="26"/>
  <c r="I113" i="26"/>
  <c r="I16" i="26"/>
  <c r="D35" i="26"/>
  <c r="D39" i="26"/>
  <c r="L472" i="22" l="1"/>
  <c r="K473" i="22"/>
  <c r="K474" i="22" s="1"/>
  <c r="K476" i="22" s="1"/>
  <c r="J446" i="22"/>
  <c r="J454" i="22"/>
  <c r="M392" i="22"/>
  <c r="M394" i="22" s="1"/>
  <c r="M384" i="22"/>
  <c r="O379" i="22"/>
  <c r="N380" i="22"/>
  <c r="N381" i="22" s="1"/>
  <c r="N383" i="22" s="1"/>
  <c r="J456" i="22"/>
  <c r="J477" i="22"/>
  <c r="J485" i="22"/>
  <c r="N411" i="22"/>
  <c r="N412" i="22" s="1"/>
  <c r="N414" i="22" s="1"/>
  <c r="O410" i="22"/>
  <c r="M415" i="22"/>
  <c r="M423" i="22"/>
  <c r="M425" i="22" s="1"/>
  <c r="J487" i="22"/>
  <c r="K442" i="22"/>
  <c r="K443" i="22" s="1"/>
  <c r="K445" i="22" s="1"/>
  <c r="L441" i="22"/>
  <c r="J361" i="22"/>
  <c r="J363" i="22" s="1"/>
  <c r="J353" i="22"/>
  <c r="L348" i="22"/>
  <c r="K349" i="22"/>
  <c r="K350" i="22" s="1"/>
  <c r="K352" i="22" s="1"/>
  <c r="Y467" i="22"/>
  <c r="X468" i="22"/>
  <c r="Z436" i="22"/>
  <c r="Y437" i="22"/>
  <c r="Y405" i="22"/>
  <c r="X406" i="22"/>
  <c r="X374" i="22"/>
  <c r="W375" i="22"/>
  <c r="W344" i="22"/>
  <c r="X343" i="22"/>
  <c r="I109" i="26"/>
  <c r="F49" i="26"/>
  <c r="E49" i="26"/>
  <c r="G49" i="26"/>
  <c r="AO17" i="5"/>
  <c r="I36" i="26"/>
  <c r="AO15" i="5"/>
  <c r="AJ19" i="5"/>
  <c r="AO20" i="5"/>
  <c r="AO22" i="5"/>
  <c r="AJ16" i="5"/>
  <c r="AJ22" i="5"/>
  <c r="AJ17" i="5"/>
  <c r="AO16" i="5"/>
  <c r="AJ15" i="5"/>
  <c r="AJ14" i="5"/>
  <c r="E123" i="27"/>
  <c r="G98" i="19"/>
  <c r="F99" i="19"/>
  <c r="E100" i="19"/>
  <c r="D125" i="27" s="1"/>
  <c r="I33" i="26"/>
  <c r="I34" i="26"/>
  <c r="I38" i="26"/>
  <c r="I37" i="26"/>
  <c r="I40" i="26"/>
  <c r="I35" i="26"/>
  <c r="I39" i="26"/>
  <c r="N392" i="22" l="1"/>
  <c r="N394" i="22" s="1"/>
  <c r="N384" i="22"/>
  <c r="K446" i="22"/>
  <c r="K454" i="22"/>
  <c r="K456" i="22" s="1"/>
  <c r="K353" i="22"/>
  <c r="K361" i="22"/>
  <c r="K363" i="22" s="1"/>
  <c r="K477" i="22"/>
  <c r="K485" i="22"/>
  <c r="K487" i="22" s="1"/>
  <c r="M348" i="22"/>
  <c r="L349" i="22"/>
  <c r="L350" i="22" s="1"/>
  <c r="L352" i="22" s="1"/>
  <c r="P379" i="22"/>
  <c r="O380" i="22"/>
  <c r="O381" i="22" s="1"/>
  <c r="O383" i="22" s="1"/>
  <c r="O411" i="22"/>
  <c r="O412" i="22" s="1"/>
  <c r="O414" i="22" s="1"/>
  <c r="P410" i="22"/>
  <c r="M472" i="22"/>
  <c r="L473" i="22"/>
  <c r="L474" i="22" s="1"/>
  <c r="L476" i="22" s="1"/>
  <c r="L442" i="22"/>
  <c r="L443" i="22" s="1"/>
  <c r="L445" i="22" s="1"/>
  <c r="M441" i="22"/>
  <c r="N423" i="22"/>
  <c r="N425" i="22" s="1"/>
  <c r="N415" i="22"/>
  <c r="Z467" i="22"/>
  <c r="Y468" i="22"/>
  <c r="AA436" i="22"/>
  <c r="AA437" i="22" s="1"/>
  <c r="Z437" i="22"/>
  <c r="Z405" i="22"/>
  <c r="Y406" i="22"/>
  <c r="X375" i="22"/>
  <c r="Y374" i="22"/>
  <c r="X344" i="22"/>
  <c r="Y343" i="22"/>
  <c r="F100" i="19"/>
  <c r="E124" i="27"/>
  <c r="G99" i="19"/>
  <c r="H99" i="19" s="1"/>
  <c r="I99" i="19" s="1"/>
  <c r="H98" i="19"/>
  <c r="G120" i="27" s="1"/>
  <c r="H32" i="3"/>
  <c r="AQ16" i="7"/>
  <c r="AQ17" i="7"/>
  <c r="AQ18" i="7"/>
  <c r="AQ19" i="7"/>
  <c r="AQ20" i="7"/>
  <c r="AQ21" i="7"/>
  <c r="AQ22" i="7"/>
  <c r="AQ23" i="7"/>
  <c r="AQ31" i="7" s="1"/>
  <c r="AK16" i="7"/>
  <c r="AK17" i="7"/>
  <c r="AK18" i="7"/>
  <c r="AK19" i="7"/>
  <c r="AK20" i="7"/>
  <c r="AK21" i="7"/>
  <c r="AK22" i="7"/>
  <c r="AK23" i="7"/>
  <c r="AK31" i="7" s="1"/>
  <c r="AB18" i="9"/>
  <c r="AF18" i="9" s="1"/>
  <c r="AJ18" i="9" s="1"/>
  <c r="AN18" i="9" s="1"/>
  <c r="AR18" i="9" s="1"/>
  <c r="AB15" i="9"/>
  <c r="AF15" i="9" s="1"/>
  <c r="AJ15" i="9" s="1"/>
  <c r="AN15" i="9" s="1"/>
  <c r="AR15" i="9" s="1"/>
  <c r="AB16" i="9"/>
  <c r="AF16" i="9" s="1"/>
  <c r="AJ16" i="9" s="1"/>
  <c r="AN16" i="9" s="1"/>
  <c r="AR16" i="9" s="1"/>
  <c r="AB17" i="9"/>
  <c r="AF17" i="9" s="1"/>
  <c r="AJ17" i="9" s="1"/>
  <c r="AN17" i="9" s="1"/>
  <c r="AR17" i="9" s="1"/>
  <c r="AB19" i="9"/>
  <c r="AF19" i="9" s="1"/>
  <c r="AJ19" i="9" s="1"/>
  <c r="AN19" i="9" s="1"/>
  <c r="AR19" i="9" s="1"/>
  <c r="AB21" i="9"/>
  <c r="AF21" i="9" s="1"/>
  <c r="AN21" i="9" s="1"/>
  <c r="AR21" i="9" s="1"/>
  <c r="D139" i="27"/>
  <c r="D140" i="27"/>
  <c r="D141" i="27"/>
  <c r="D142" i="27"/>
  <c r="D143" i="27"/>
  <c r="D144" i="27"/>
  <c r="D145" i="27"/>
  <c r="D146" i="27"/>
  <c r="D138" i="27"/>
  <c r="E62" i="27"/>
  <c r="E56" i="27"/>
  <c r="E39" i="27"/>
  <c r="E37" i="27"/>
  <c r="E36" i="27"/>
  <c r="H55" i="27"/>
  <c r="H56" i="27"/>
  <c r="H57" i="27"/>
  <c r="H58" i="27"/>
  <c r="H59" i="27"/>
  <c r="H60" i="27"/>
  <c r="H61" i="27"/>
  <c r="H62" i="27"/>
  <c r="H54" i="27"/>
  <c r="G55" i="27"/>
  <c r="G56" i="27"/>
  <c r="G57" i="27"/>
  <c r="G58" i="27"/>
  <c r="G59" i="27"/>
  <c r="G60" i="27"/>
  <c r="G61" i="27"/>
  <c r="G62" i="27"/>
  <c r="G54" i="27"/>
  <c r="F55" i="27"/>
  <c r="F56" i="27"/>
  <c r="F57" i="27"/>
  <c r="F58" i="27"/>
  <c r="F59" i="27"/>
  <c r="F60" i="27"/>
  <c r="F61" i="27"/>
  <c r="F62" i="27"/>
  <c r="F54" i="27"/>
  <c r="E55" i="27"/>
  <c r="E57" i="27"/>
  <c r="E58" i="27"/>
  <c r="E59" i="27"/>
  <c r="E60" i="27"/>
  <c r="E61" i="27"/>
  <c r="E54" i="27"/>
  <c r="D54" i="27"/>
  <c r="E34" i="27"/>
  <c r="E35" i="27"/>
  <c r="E38" i="27"/>
  <c r="E40" i="27"/>
  <c r="E41" i="27"/>
  <c r="E33" i="27"/>
  <c r="D34" i="27"/>
  <c r="D35" i="27"/>
  <c r="D33" i="27"/>
  <c r="O394" i="22" l="1"/>
  <c r="L454" i="22"/>
  <c r="L456" i="22" s="1"/>
  <c r="L446" i="22"/>
  <c r="L485" i="22"/>
  <c r="L487" i="22" s="1"/>
  <c r="L477" i="22"/>
  <c r="N472" i="22"/>
  <c r="M473" i="22"/>
  <c r="M474" i="22" s="1"/>
  <c r="M476" i="22" s="1"/>
  <c r="P411" i="22"/>
  <c r="P412" i="22" s="1"/>
  <c r="P414" i="22" s="1"/>
  <c r="Q410" i="22"/>
  <c r="O423" i="22"/>
  <c r="O425" i="22" s="1"/>
  <c r="O415" i="22"/>
  <c r="O392" i="22"/>
  <c r="O384" i="22"/>
  <c r="Q379" i="22"/>
  <c r="P380" i="22"/>
  <c r="P381" i="22" s="1"/>
  <c r="P383" i="22" s="1"/>
  <c r="M442" i="22"/>
  <c r="M443" i="22" s="1"/>
  <c r="M445" i="22" s="1"/>
  <c r="N441" i="22"/>
  <c r="L361" i="22"/>
  <c r="L363" i="22" s="1"/>
  <c r="L353" i="22"/>
  <c r="N348" i="22"/>
  <c r="M349" i="22"/>
  <c r="M350" i="22" s="1"/>
  <c r="M352" i="22" s="1"/>
  <c r="AA467" i="22"/>
  <c r="AA468" i="22" s="1"/>
  <c r="Z468" i="22"/>
  <c r="AA405" i="22"/>
  <c r="AA406" i="22" s="1"/>
  <c r="Z406" i="22"/>
  <c r="Y375" i="22"/>
  <c r="Z374" i="22"/>
  <c r="Y344" i="22"/>
  <c r="Z343" i="22"/>
  <c r="G100" i="19"/>
  <c r="H100" i="19" s="1"/>
  <c r="I100" i="19" s="1"/>
  <c r="I98" i="19"/>
  <c r="H120" i="27" s="1"/>
  <c r="G82" i="12"/>
  <c r="G81" i="12"/>
  <c r="G80" i="12"/>
  <c r="M361" i="22" l="1"/>
  <c r="M363" i="22" s="1"/>
  <c r="M353" i="22"/>
  <c r="M485" i="22"/>
  <c r="M487" i="22" s="1"/>
  <c r="M477" i="22"/>
  <c r="Q411" i="22"/>
  <c r="Q412" i="22" s="1"/>
  <c r="Q414" i="22" s="1"/>
  <c r="R410" i="22"/>
  <c r="P384" i="22"/>
  <c r="P392" i="22"/>
  <c r="P394" i="22" s="1"/>
  <c r="P415" i="22"/>
  <c r="P423" i="22"/>
  <c r="O472" i="22"/>
  <c r="N473" i="22"/>
  <c r="N474" i="22" s="1"/>
  <c r="N476" i="22" s="1"/>
  <c r="M454" i="22"/>
  <c r="M456" i="22" s="1"/>
  <c r="M446" i="22"/>
  <c r="R379" i="22"/>
  <c r="Q380" i="22"/>
  <c r="Q381" i="22" s="1"/>
  <c r="Q383" i="22" s="1"/>
  <c r="O348" i="22"/>
  <c r="N349" i="22"/>
  <c r="N350" i="22" s="1"/>
  <c r="N352" i="22" s="1"/>
  <c r="N442" i="22"/>
  <c r="N443" i="22" s="1"/>
  <c r="N445" i="22" s="1"/>
  <c r="O441" i="22"/>
  <c r="P425" i="22"/>
  <c r="AA374" i="22"/>
  <c r="AA375" i="22" s="1"/>
  <c r="Z375" i="22"/>
  <c r="AA343" i="22"/>
  <c r="AA344" i="22" s="1"/>
  <c r="Z344" i="22"/>
  <c r="Y38" i="5"/>
  <c r="AJ85" i="4"/>
  <c r="AJ86" i="4"/>
  <c r="AJ87" i="4"/>
  <c r="AJ88" i="4"/>
  <c r="AJ89" i="4"/>
  <c r="AJ90" i="4"/>
  <c r="AJ91" i="4"/>
  <c r="AJ92" i="4"/>
  <c r="AJ84" i="4"/>
  <c r="AG85" i="4"/>
  <c r="AG86" i="4"/>
  <c r="AG87" i="4"/>
  <c r="AG88" i="4"/>
  <c r="AG89" i="4"/>
  <c r="AG90" i="4"/>
  <c r="AG91" i="4"/>
  <c r="AG92" i="4"/>
  <c r="AG84" i="4"/>
  <c r="AD85" i="4"/>
  <c r="AD86" i="4"/>
  <c r="AD87" i="4"/>
  <c r="AD88" i="4"/>
  <c r="AD89" i="4"/>
  <c r="AD90" i="4"/>
  <c r="AD91" i="4"/>
  <c r="AD92" i="4"/>
  <c r="AD84" i="4"/>
  <c r="AA85" i="4"/>
  <c r="AA86" i="4"/>
  <c r="AA87" i="4"/>
  <c r="AA88" i="4"/>
  <c r="AA89" i="4"/>
  <c r="AA90" i="4"/>
  <c r="AA91" i="4"/>
  <c r="AA92" i="4"/>
  <c r="AA84" i="4"/>
  <c r="N454" i="22" l="1"/>
  <c r="N456" i="22" s="1"/>
  <c r="N446" i="22"/>
  <c r="P348" i="22"/>
  <c r="O349" i="22"/>
  <c r="O350" i="22" s="1"/>
  <c r="O352" i="22" s="1"/>
  <c r="R411" i="22"/>
  <c r="R412" i="22" s="1"/>
  <c r="R414" i="22" s="1"/>
  <c r="S410" i="22"/>
  <c r="O442" i="22"/>
  <c r="O443" i="22" s="1"/>
  <c r="O445" i="22" s="1"/>
  <c r="P441" i="22"/>
  <c r="Q415" i="22"/>
  <c r="Q423" i="22"/>
  <c r="Q425" i="22" s="1"/>
  <c r="Q392" i="22"/>
  <c r="Q394" i="22" s="1"/>
  <c r="Q384" i="22"/>
  <c r="S379" i="22"/>
  <c r="R380" i="22"/>
  <c r="R381" i="22" s="1"/>
  <c r="R383" i="22" s="1"/>
  <c r="N485" i="22"/>
  <c r="N487" i="22" s="1"/>
  <c r="N477" i="22"/>
  <c r="N361" i="22"/>
  <c r="N363" i="22" s="1"/>
  <c r="N353" i="22"/>
  <c r="P472" i="22"/>
  <c r="O473" i="22"/>
  <c r="O474" i="22" s="1"/>
  <c r="O476" i="22" s="1"/>
  <c r="E96" i="27"/>
  <c r="E75" i="27"/>
  <c r="F98" i="27"/>
  <c r="F77" i="27"/>
  <c r="H100" i="27"/>
  <c r="H79" i="27"/>
  <c r="E83" i="27"/>
  <c r="E104" i="27"/>
  <c r="E79" i="27"/>
  <c r="E100" i="27"/>
  <c r="F75" i="27"/>
  <c r="F96" i="27"/>
  <c r="F80" i="27"/>
  <c r="F101" i="27"/>
  <c r="F76" i="27"/>
  <c r="F97" i="27"/>
  <c r="G81" i="27"/>
  <c r="G102" i="27"/>
  <c r="G77" i="27"/>
  <c r="G98" i="27"/>
  <c r="H82" i="27"/>
  <c r="H103" i="27"/>
  <c r="H78" i="27"/>
  <c r="H99" i="27"/>
  <c r="E97" i="27"/>
  <c r="E76" i="27"/>
  <c r="G103" i="27"/>
  <c r="G82" i="27"/>
  <c r="H104" i="27"/>
  <c r="H83" i="27"/>
  <c r="E82" i="27"/>
  <c r="E103" i="27"/>
  <c r="E99" i="27"/>
  <c r="E78" i="27"/>
  <c r="F83" i="27"/>
  <c r="F104" i="27"/>
  <c r="F100" i="27"/>
  <c r="F79" i="27"/>
  <c r="G75" i="27"/>
  <c r="G96" i="27"/>
  <c r="G101" i="27"/>
  <c r="G80" i="27"/>
  <c r="G76" i="27"/>
  <c r="G97" i="27"/>
  <c r="H81" i="27"/>
  <c r="H102" i="27"/>
  <c r="H98" i="27"/>
  <c r="H77" i="27"/>
  <c r="E101" i="27"/>
  <c r="E80" i="27"/>
  <c r="F102" i="27"/>
  <c r="F81" i="27"/>
  <c r="G99" i="27"/>
  <c r="G78" i="27"/>
  <c r="E102" i="27"/>
  <c r="E81" i="27"/>
  <c r="E98" i="27"/>
  <c r="E77" i="27"/>
  <c r="F103" i="27"/>
  <c r="F82" i="27"/>
  <c r="F99" i="27"/>
  <c r="F78" i="27"/>
  <c r="G104" i="27"/>
  <c r="G83" i="27"/>
  <c r="G100" i="27"/>
  <c r="G79" i="27"/>
  <c r="H96" i="27"/>
  <c r="H75" i="27"/>
  <c r="H101" i="27"/>
  <c r="H80" i="27"/>
  <c r="H97" i="27"/>
  <c r="H76" i="27"/>
  <c r="AJ156" i="6"/>
  <c r="AJ157" i="6"/>
  <c r="AJ158" i="6"/>
  <c r="AJ159" i="6"/>
  <c r="AJ160" i="6"/>
  <c r="AJ161" i="6"/>
  <c r="AJ162" i="6"/>
  <c r="AJ163" i="6"/>
  <c r="AJ155" i="6"/>
  <c r="AG156" i="6"/>
  <c r="AG157" i="6"/>
  <c r="AG158" i="6"/>
  <c r="AG159" i="6"/>
  <c r="AG160" i="6"/>
  <c r="AG161" i="6"/>
  <c r="AG162" i="6"/>
  <c r="AG163" i="6"/>
  <c r="AG155" i="6"/>
  <c r="AD156" i="6"/>
  <c r="AD157" i="6"/>
  <c r="AD158" i="6"/>
  <c r="AD159" i="6"/>
  <c r="AD160" i="6"/>
  <c r="AD161" i="6"/>
  <c r="AD162" i="6"/>
  <c r="AD163" i="6"/>
  <c r="AD155" i="6"/>
  <c r="AA156" i="6"/>
  <c r="AA157" i="6"/>
  <c r="AA158" i="6"/>
  <c r="AA159" i="6"/>
  <c r="AA160" i="6"/>
  <c r="AA161" i="6"/>
  <c r="AA162" i="6"/>
  <c r="AA163" i="6"/>
  <c r="AA155" i="6"/>
  <c r="X156" i="6"/>
  <c r="R161" i="7" s="1"/>
  <c r="X157" i="6"/>
  <c r="R162" i="7" s="1"/>
  <c r="X158" i="6"/>
  <c r="R163" i="7" s="1"/>
  <c r="X159" i="6"/>
  <c r="R164" i="7" s="1"/>
  <c r="X160" i="6"/>
  <c r="R165" i="7" s="1"/>
  <c r="X161" i="6"/>
  <c r="R166" i="7" s="1"/>
  <c r="X162" i="6"/>
  <c r="R167" i="7" s="1"/>
  <c r="X163" i="6"/>
  <c r="R168" i="7" s="1"/>
  <c r="X155" i="6"/>
  <c r="AJ133" i="6"/>
  <c r="AN137" i="7" s="1"/>
  <c r="AJ134" i="6"/>
  <c r="AN138" i="7" s="1"/>
  <c r="AJ135" i="6"/>
  <c r="AN139" i="7" s="1"/>
  <c r="AJ136" i="6"/>
  <c r="AN140" i="7" s="1"/>
  <c r="AJ137" i="6"/>
  <c r="AN141" i="7" s="1"/>
  <c r="AJ138" i="6"/>
  <c r="AN142" i="7" s="1"/>
  <c r="AJ139" i="6"/>
  <c r="AN143" i="7" s="1"/>
  <c r="AN152" i="7"/>
  <c r="AJ132" i="6"/>
  <c r="AN136" i="7" s="1"/>
  <c r="AG133" i="6"/>
  <c r="AH137" i="7" s="1"/>
  <c r="AG134" i="6"/>
  <c r="AH138" i="7" s="1"/>
  <c r="AG135" i="6"/>
  <c r="AH139" i="7" s="1"/>
  <c r="AG136" i="6"/>
  <c r="AH140" i="7" s="1"/>
  <c r="AG137" i="6"/>
  <c r="AH141" i="7" s="1"/>
  <c r="AG138" i="6"/>
  <c r="AH142" i="7" s="1"/>
  <c r="AG139" i="6"/>
  <c r="AH143" i="7" s="1"/>
  <c r="AH152" i="7"/>
  <c r="AG132" i="6"/>
  <c r="AH136" i="7" s="1"/>
  <c r="AD133" i="6"/>
  <c r="AB137" i="7" s="1"/>
  <c r="AD134" i="6"/>
  <c r="AB138" i="7" s="1"/>
  <c r="AD135" i="6"/>
  <c r="AB139" i="7" s="1"/>
  <c r="AD136" i="6"/>
  <c r="AB140" i="7" s="1"/>
  <c r="AD137" i="6"/>
  <c r="AB141" i="7" s="1"/>
  <c r="AD138" i="6"/>
  <c r="AB142" i="7" s="1"/>
  <c r="AD139" i="6"/>
  <c r="AB143" i="7" s="1"/>
  <c r="AB152" i="7"/>
  <c r="AD132" i="6"/>
  <c r="AB136" i="7" s="1"/>
  <c r="AA133" i="6"/>
  <c r="V137" i="7" s="1"/>
  <c r="AA134" i="6"/>
  <c r="V138" i="7" s="1"/>
  <c r="AA135" i="6"/>
  <c r="V139" i="7" s="1"/>
  <c r="AA136" i="6"/>
  <c r="V140" i="7" s="1"/>
  <c r="AA137" i="6"/>
  <c r="V141" i="7" s="1"/>
  <c r="AA138" i="6"/>
  <c r="V142" i="7" s="1"/>
  <c r="AA139" i="6"/>
  <c r="V143" i="7" s="1"/>
  <c r="V152" i="7"/>
  <c r="AA132" i="6"/>
  <c r="V136" i="7" s="1"/>
  <c r="X133" i="6"/>
  <c r="R137" i="7" s="1"/>
  <c r="X134" i="6"/>
  <c r="R138" i="7" s="1"/>
  <c r="X135" i="6"/>
  <c r="R139" i="7" s="1"/>
  <c r="X136" i="6"/>
  <c r="R140" i="7" s="1"/>
  <c r="X137" i="6"/>
  <c r="R141" i="7" s="1"/>
  <c r="X138" i="6"/>
  <c r="R142" i="7" s="1"/>
  <c r="X139" i="6"/>
  <c r="R143" i="7" s="1"/>
  <c r="R152" i="7"/>
  <c r="X132" i="6"/>
  <c r="R136" i="7" s="1"/>
  <c r="AJ110" i="6"/>
  <c r="AN113" i="7" s="1"/>
  <c r="AJ111" i="6"/>
  <c r="AN114" i="7" s="1"/>
  <c r="AJ112" i="6"/>
  <c r="AN115" i="7" s="1"/>
  <c r="AJ113" i="6"/>
  <c r="AN116" i="7" s="1"/>
  <c r="AJ114" i="6"/>
  <c r="AN117" i="7" s="1"/>
  <c r="AJ115" i="6"/>
  <c r="AN118" i="7" s="1"/>
  <c r="AJ116" i="6"/>
  <c r="AN119" i="7" s="1"/>
  <c r="AJ117" i="6"/>
  <c r="AN120" i="7" s="1"/>
  <c r="AJ109" i="6"/>
  <c r="AN112" i="7" s="1"/>
  <c r="AG113" i="6"/>
  <c r="AH116" i="7" s="1"/>
  <c r="AG114" i="6"/>
  <c r="AH117" i="7" s="1"/>
  <c r="AG115" i="6"/>
  <c r="AH118" i="7" s="1"/>
  <c r="AG116" i="6"/>
  <c r="AH119" i="7" s="1"/>
  <c r="AJ87" i="6"/>
  <c r="AN89" i="7" s="1"/>
  <c r="AJ88" i="6"/>
  <c r="AN90" i="7" s="1"/>
  <c r="AJ89" i="6"/>
  <c r="AN91" i="7" s="1"/>
  <c r="AJ90" i="6"/>
  <c r="AN92" i="7" s="1"/>
  <c r="AJ91" i="6"/>
  <c r="AN93" i="7" s="1"/>
  <c r="AJ92" i="6"/>
  <c r="AN94" i="7" s="1"/>
  <c r="AJ93" i="6"/>
  <c r="AN95" i="7" s="1"/>
  <c r="AJ94" i="6"/>
  <c r="AN96" i="7" s="1"/>
  <c r="AJ86" i="6"/>
  <c r="AN88" i="7" s="1"/>
  <c r="AG90" i="6"/>
  <c r="AH92" i="7" s="1"/>
  <c r="AG91" i="6"/>
  <c r="AH93" i="7" s="1"/>
  <c r="AG92" i="6"/>
  <c r="AH94" i="7" s="1"/>
  <c r="AG93" i="6"/>
  <c r="AH95" i="7" s="1"/>
  <c r="AJ39" i="6"/>
  <c r="AJ40" i="6"/>
  <c r="AJ41" i="6"/>
  <c r="AJ42" i="6"/>
  <c r="AJ43" i="6"/>
  <c r="AJ44" i="6"/>
  <c r="AJ45" i="6"/>
  <c r="AJ46" i="6"/>
  <c r="AJ38" i="6"/>
  <c r="AG42" i="6"/>
  <c r="AG43" i="6"/>
  <c r="AG44" i="6"/>
  <c r="AG45" i="6"/>
  <c r="AT154" i="29"/>
  <c r="AT155" i="29"/>
  <c r="AT156" i="29"/>
  <c r="AT157" i="29"/>
  <c r="AT158" i="29"/>
  <c r="AT159" i="29"/>
  <c r="AT160" i="29"/>
  <c r="AT161" i="29"/>
  <c r="AT153" i="29"/>
  <c r="AO154" i="29"/>
  <c r="AO155" i="29"/>
  <c r="AO156" i="29"/>
  <c r="AO157" i="29"/>
  <c r="AO158" i="29"/>
  <c r="AO159" i="29"/>
  <c r="AO160" i="29"/>
  <c r="AO161" i="29"/>
  <c r="AO153" i="29"/>
  <c r="AJ154" i="29"/>
  <c r="AJ155" i="29"/>
  <c r="AJ156" i="29"/>
  <c r="AJ157" i="29"/>
  <c r="AJ158" i="29"/>
  <c r="AJ159" i="29"/>
  <c r="AJ160" i="29"/>
  <c r="AJ161" i="29"/>
  <c r="AJ153" i="29"/>
  <c r="AE156" i="29"/>
  <c r="AE157" i="29"/>
  <c r="AE158" i="29"/>
  <c r="AE159" i="29"/>
  <c r="AE160" i="29"/>
  <c r="AE161" i="29"/>
  <c r="AE154" i="29"/>
  <c r="AE155" i="29"/>
  <c r="AE153" i="29"/>
  <c r="AD153" i="29"/>
  <c r="Z154" i="29"/>
  <c r="Z155" i="29"/>
  <c r="Z156" i="29"/>
  <c r="Z157" i="29"/>
  <c r="Z158" i="29"/>
  <c r="Z159" i="29"/>
  <c r="Z160" i="29"/>
  <c r="Z161" i="29"/>
  <c r="Z153" i="29"/>
  <c r="AT131" i="29"/>
  <c r="AT132" i="29"/>
  <c r="AT133" i="29"/>
  <c r="AT134" i="29"/>
  <c r="AT135" i="29"/>
  <c r="AT136" i="29"/>
  <c r="AS137" i="29"/>
  <c r="AT137" i="29"/>
  <c r="AT138" i="29"/>
  <c r="AT130" i="29"/>
  <c r="AO131" i="29"/>
  <c r="AN132" i="29"/>
  <c r="AO132" i="29"/>
  <c r="AO133" i="29"/>
  <c r="AO134" i="29"/>
  <c r="AO135" i="29"/>
  <c r="AO136" i="29"/>
  <c r="AO137" i="29"/>
  <c r="AO138" i="29"/>
  <c r="AO130" i="29"/>
  <c r="AN130" i="29"/>
  <c r="AJ131" i="29"/>
  <c r="AJ132" i="29"/>
  <c r="AJ133" i="29"/>
  <c r="AJ134" i="29"/>
  <c r="AI135" i="29"/>
  <c r="AJ135" i="29"/>
  <c r="AJ136" i="29"/>
  <c r="AJ137" i="29"/>
  <c r="AJ138" i="29"/>
  <c r="AJ130" i="29"/>
  <c r="AD131" i="29"/>
  <c r="AD132" i="29"/>
  <c r="AD133" i="29"/>
  <c r="AD134" i="29"/>
  <c r="AD135" i="29"/>
  <c r="AD136" i="29"/>
  <c r="AD137" i="29"/>
  <c r="AD138" i="29"/>
  <c r="AD130" i="29"/>
  <c r="Y131" i="29"/>
  <c r="Y132" i="29"/>
  <c r="Y133" i="29"/>
  <c r="Y134" i="29"/>
  <c r="Y135" i="29"/>
  <c r="Y136" i="29"/>
  <c r="Y137" i="29"/>
  <c r="Y138" i="29"/>
  <c r="Y130" i="29"/>
  <c r="AT108" i="29"/>
  <c r="AT109" i="29"/>
  <c r="AT110" i="29"/>
  <c r="AT111" i="29"/>
  <c r="AT112" i="29"/>
  <c r="AT113" i="29"/>
  <c r="AT114" i="29"/>
  <c r="AT115" i="29"/>
  <c r="AT107" i="29"/>
  <c r="AO108" i="29"/>
  <c r="AO109" i="29"/>
  <c r="AO110" i="29"/>
  <c r="AO111" i="29"/>
  <c r="AN112" i="29"/>
  <c r="AO112" i="29"/>
  <c r="AO113" i="29"/>
  <c r="AO114" i="29"/>
  <c r="AO115" i="29"/>
  <c r="AO107" i="29"/>
  <c r="AI114" i="29"/>
  <c r="AD108" i="29"/>
  <c r="AD109" i="29"/>
  <c r="AD110" i="29"/>
  <c r="AD111" i="29"/>
  <c r="AD112" i="29"/>
  <c r="AD113" i="29"/>
  <c r="AD114" i="29"/>
  <c r="AD115" i="29"/>
  <c r="AD107" i="29"/>
  <c r="Y108" i="29"/>
  <c r="Y109" i="29"/>
  <c r="Y110" i="29"/>
  <c r="Y111" i="29"/>
  <c r="Y112" i="29"/>
  <c r="Y113" i="29"/>
  <c r="Y114" i="29"/>
  <c r="Y115" i="29"/>
  <c r="Z107" i="29"/>
  <c r="AS85" i="29"/>
  <c r="AT85" i="29"/>
  <c r="AS86" i="29"/>
  <c r="AT86" i="29"/>
  <c r="AS87" i="29"/>
  <c r="AT87" i="29"/>
  <c r="AS88" i="29"/>
  <c r="AT88" i="29"/>
  <c r="AS89" i="29"/>
  <c r="AT89" i="29"/>
  <c r="AS90" i="29"/>
  <c r="AT90" i="29"/>
  <c r="AS91" i="29"/>
  <c r="AT91" i="29"/>
  <c r="AS92" i="29"/>
  <c r="AT92" i="29"/>
  <c r="AJ84" i="29"/>
  <c r="AD85" i="29"/>
  <c r="AD86" i="29"/>
  <c r="AD87" i="29"/>
  <c r="AD88" i="29"/>
  <c r="AD89" i="29"/>
  <c r="AD90" i="29"/>
  <c r="AD91" i="29"/>
  <c r="AD92" i="29"/>
  <c r="AD84" i="29"/>
  <c r="Y85" i="29"/>
  <c r="Y86" i="29"/>
  <c r="Y87" i="29"/>
  <c r="Y88" i="29"/>
  <c r="Y89" i="29"/>
  <c r="Y90" i="29"/>
  <c r="Y91" i="29"/>
  <c r="Y92" i="29"/>
  <c r="Z84" i="29"/>
  <c r="AS62" i="29"/>
  <c r="AS63" i="29"/>
  <c r="AS61" i="29"/>
  <c r="AD39" i="29"/>
  <c r="AD62" i="29" s="1"/>
  <c r="AD40" i="29"/>
  <c r="AD63" i="29" s="1"/>
  <c r="AD41" i="29"/>
  <c r="AD64" i="29" s="1"/>
  <c r="AD42" i="29"/>
  <c r="AD65" i="29" s="1"/>
  <c r="AD43" i="29"/>
  <c r="AD66" i="29" s="1"/>
  <c r="AD44" i="29"/>
  <c r="AD67" i="29" s="1"/>
  <c r="AD45" i="29"/>
  <c r="AD68" i="29" s="1"/>
  <c r="AD46" i="29"/>
  <c r="AD69" i="29" s="1"/>
  <c r="AD38" i="29"/>
  <c r="AD61" i="29" s="1"/>
  <c r="Y39" i="29"/>
  <c r="Y62" i="29" s="1"/>
  <c r="Y40" i="29"/>
  <c r="Y63" i="29" s="1"/>
  <c r="Y41" i="29"/>
  <c r="Y64" i="29" s="1"/>
  <c r="Y42" i="29"/>
  <c r="Y65" i="29" s="1"/>
  <c r="Y43" i="29"/>
  <c r="Y66" i="29" s="1"/>
  <c r="Y44" i="29"/>
  <c r="Y67" i="29" s="1"/>
  <c r="Y45" i="29"/>
  <c r="Y68" i="29" s="1"/>
  <c r="Y46" i="29"/>
  <c r="Y69" i="29" s="1"/>
  <c r="Z38" i="29"/>
  <c r="Z61" i="29" s="1"/>
  <c r="AS154" i="29"/>
  <c r="AS155" i="29"/>
  <c r="AS156" i="29"/>
  <c r="AS157" i="29"/>
  <c r="AS158" i="29"/>
  <c r="AS159" i="29"/>
  <c r="AS160" i="29"/>
  <c r="AS161" i="29"/>
  <c r="AS153" i="29"/>
  <c r="AN154" i="29"/>
  <c r="AN155" i="29"/>
  <c r="AN156" i="29"/>
  <c r="AN157" i="29"/>
  <c r="AN158" i="29"/>
  <c r="AN159" i="29"/>
  <c r="AN160" i="29"/>
  <c r="AN161" i="29"/>
  <c r="AN153" i="29"/>
  <c r="AI154" i="29"/>
  <c r="AI155" i="29"/>
  <c r="AI156" i="29"/>
  <c r="AI157" i="29"/>
  <c r="AI158" i="29"/>
  <c r="AI159" i="29"/>
  <c r="AI160" i="29"/>
  <c r="AI161" i="29"/>
  <c r="AI153" i="29"/>
  <c r="AD154" i="29"/>
  <c r="AD155" i="29"/>
  <c r="AD156" i="29"/>
  <c r="AD157" i="29"/>
  <c r="AD158" i="29"/>
  <c r="AD159" i="29"/>
  <c r="AD160" i="29"/>
  <c r="AD161" i="29"/>
  <c r="Y154" i="29"/>
  <c r="Y155" i="29"/>
  <c r="Y156" i="29"/>
  <c r="Y157" i="29"/>
  <c r="Y158" i="29"/>
  <c r="Y159" i="29"/>
  <c r="Y160" i="29"/>
  <c r="Y161" i="29"/>
  <c r="Y153" i="5"/>
  <c r="Y153" i="29" s="1"/>
  <c r="AS131" i="29"/>
  <c r="AS132" i="29"/>
  <c r="AS133" i="29"/>
  <c r="AS134" i="29"/>
  <c r="AS135" i="29"/>
  <c r="AS136" i="29"/>
  <c r="AS138" i="29"/>
  <c r="AS130" i="29"/>
  <c r="AN131" i="29"/>
  <c r="AN133" i="29"/>
  <c r="AN134" i="29"/>
  <c r="AN135" i="29"/>
  <c r="AN136" i="29"/>
  <c r="AN137" i="29"/>
  <c r="AN138" i="29"/>
  <c r="AI131" i="29"/>
  <c r="AI132" i="29"/>
  <c r="AI133" i="29"/>
  <c r="AI134" i="29"/>
  <c r="AI136" i="29"/>
  <c r="AI137" i="29"/>
  <c r="AI138" i="29"/>
  <c r="AI130" i="29"/>
  <c r="AE131" i="29"/>
  <c r="AE132" i="29"/>
  <c r="AE133" i="29"/>
  <c r="AE134" i="29"/>
  <c r="AE135" i="29"/>
  <c r="AE136" i="29"/>
  <c r="AE137" i="29"/>
  <c r="AE138" i="29"/>
  <c r="AE130" i="29"/>
  <c r="Z131" i="29"/>
  <c r="Z132" i="29"/>
  <c r="Z133" i="29"/>
  <c r="Z134" i="29"/>
  <c r="Z135" i="29"/>
  <c r="Z136" i="29"/>
  <c r="Z137" i="29"/>
  <c r="Z138" i="29"/>
  <c r="Z130" i="29"/>
  <c r="AS108" i="29"/>
  <c r="AS109" i="29"/>
  <c r="AS110" i="29"/>
  <c r="AS111" i="29"/>
  <c r="AS112" i="29"/>
  <c r="AS113" i="29"/>
  <c r="AS114" i="29"/>
  <c r="AS115" i="29"/>
  <c r="AS107" i="29"/>
  <c r="AN111" i="29"/>
  <c r="AN113" i="29"/>
  <c r="AN114" i="29"/>
  <c r="AT84" i="29"/>
  <c r="AS84" i="29"/>
  <c r="AN88" i="29"/>
  <c r="AO88" i="29"/>
  <c r="AN89" i="29"/>
  <c r="AO89" i="29"/>
  <c r="AN90" i="29"/>
  <c r="AO90" i="29"/>
  <c r="AN91" i="29"/>
  <c r="AO91" i="29"/>
  <c r="AD62" i="5"/>
  <c r="AD63" i="5"/>
  <c r="AD64" i="5"/>
  <c r="AD65" i="5"/>
  <c r="AD66" i="5"/>
  <c r="AD67" i="5"/>
  <c r="AD68" i="5"/>
  <c r="AD69" i="5"/>
  <c r="AD61" i="5"/>
  <c r="Y62" i="5"/>
  <c r="Y63" i="5"/>
  <c r="Y64" i="5"/>
  <c r="Y65" i="5"/>
  <c r="Y66" i="5"/>
  <c r="Y67" i="5"/>
  <c r="Y68" i="5"/>
  <c r="Y69" i="5"/>
  <c r="Z61" i="5"/>
  <c r="AS62" i="5"/>
  <c r="AT62" i="5"/>
  <c r="AS63" i="5"/>
  <c r="AT40" i="29"/>
  <c r="AS41" i="29"/>
  <c r="AT41" i="29"/>
  <c r="AS42" i="29"/>
  <c r="AT42" i="29"/>
  <c r="AS66" i="5"/>
  <c r="AT43" i="29"/>
  <c r="AS44" i="29"/>
  <c r="AT44" i="29"/>
  <c r="AS45" i="29"/>
  <c r="AT45" i="29"/>
  <c r="AS69" i="5"/>
  <c r="AT69" i="5"/>
  <c r="AT38" i="29"/>
  <c r="AS61" i="5"/>
  <c r="AN65" i="5"/>
  <c r="AO42" i="29"/>
  <c r="AN43" i="29"/>
  <c r="AO43" i="29"/>
  <c r="AN67" i="5"/>
  <c r="AO44" i="29"/>
  <c r="AN45" i="29"/>
  <c r="AO45" i="29"/>
  <c r="AG94" i="6"/>
  <c r="AH96" i="7" s="1"/>
  <c r="AD94" i="6"/>
  <c r="AB96" i="7" s="1"/>
  <c r="AG117" i="6"/>
  <c r="AH120" i="7" s="1"/>
  <c r="AD116" i="6"/>
  <c r="AB119" i="7" s="1"/>
  <c r="AG109" i="6"/>
  <c r="AH112" i="7" s="1"/>
  <c r="AA109" i="6"/>
  <c r="V112" i="7" s="1"/>
  <c r="AG46" i="6"/>
  <c r="AD41" i="6"/>
  <c r="S411" i="22" l="1"/>
  <c r="S412" i="22" s="1"/>
  <c r="S414" i="22" s="1"/>
  <c r="T410" i="22"/>
  <c r="O485" i="22"/>
  <c r="O487" i="22" s="1"/>
  <c r="O477" i="22"/>
  <c r="R423" i="22"/>
  <c r="R425" i="22" s="1"/>
  <c r="R415" i="22"/>
  <c r="O353" i="22"/>
  <c r="O361" i="22"/>
  <c r="O363" i="22" s="1"/>
  <c r="Q348" i="22"/>
  <c r="P349" i="22"/>
  <c r="P350" i="22" s="1"/>
  <c r="P352" i="22" s="1"/>
  <c r="R392" i="22"/>
  <c r="R394" i="22" s="1"/>
  <c r="R384" i="22"/>
  <c r="T379" i="22"/>
  <c r="S380" i="22"/>
  <c r="S381" i="22" s="1"/>
  <c r="S383" i="22" s="1"/>
  <c r="P442" i="22"/>
  <c r="P443" i="22" s="1"/>
  <c r="P445" i="22" s="1"/>
  <c r="Q441" i="22"/>
  <c r="O454" i="22"/>
  <c r="O456" i="22" s="1"/>
  <c r="O446" i="22"/>
  <c r="Q472" i="22"/>
  <c r="P473" i="22"/>
  <c r="P474" i="22" s="1"/>
  <c r="P476" i="22" s="1"/>
  <c r="AN128" i="7"/>
  <c r="Y19" i="29"/>
  <c r="AD15" i="29"/>
  <c r="AD19" i="29"/>
  <c r="Y15" i="29"/>
  <c r="Y18" i="29"/>
  <c r="AD18" i="29"/>
  <c r="Y21" i="29"/>
  <c r="Y17" i="29"/>
  <c r="AD21" i="29"/>
  <c r="AD17" i="29"/>
  <c r="AD14" i="29"/>
  <c r="Y22" i="29"/>
  <c r="AD22" i="29"/>
  <c r="Z14" i="29"/>
  <c r="Y20" i="29"/>
  <c r="Y16" i="29"/>
  <c r="AD20" i="29"/>
  <c r="AD16" i="29"/>
  <c r="AS65" i="29"/>
  <c r="AS18" i="29"/>
  <c r="AJ62" i="6"/>
  <c r="AN64" i="7" s="1"/>
  <c r="AN40" i="7"/>
  <c r="AJ14" i="6"/>
  <c r="AJ63" i="6"/>
  <c r="AN65" i="7" s="1"/>
  <c r="AN41" i="7"/>
  <c r="AJ15" i="6"/>
  <c r="H76" i="18" s="1"/>
  <c r="I166" i="30"/>
  <c r="AO68" i="29"/>
  <c r="AO21" i="29"/>
  <c r="AO66" i="29"/>
  <c r="AO19" i="29"/>
  <c r="AT68" i="29"/>
  <c r="AT21" i="29"/>
  <c r="AT66" i="29"/>
  <c r="AT19" i="29"/>
  <c r="AT64" i="29"/>
  <c r="AT17" i="29"/>
  <c r="AS14" i="29"/>
  <c r="AG68" i="6"/>
  <c r="AH70" i="7" s="1"/>
  <c r="AH46" i="7"/>
  <c r="AG20" i="6"/>
  <c r="AJ70" i="6"/>
  <c r="AN72" i="7" s="1"/>
  <c r="AN48" i="7"/>
  <c r="AJ22" i="6"/>
  <c r="AJ66" i="6"/>
  <c r="AN68" i="7" s="1"/>
  <c r="AN44" i="7"/>
  <c r="AJ18" i="6"/>
  <c r="H79" i="18" s="1"/>
  <c r="R160" i="7"/>
  <c r="G166" i="30"/>
  <c r="AD65" i="6"/>
  <c r="AB67" i="7" s="1"/>
  <c r="AB43" i="7"/>
  <c r="AS67" i="29"/>
  <c r="AS20" i="29"/>
  <c r="AG69" i="6"/>
  <c r="AH71" i="7" s="1"/>
  <c r="AH47" i="7"/>
  <c r="AG21" i="6"/>
  <c r="AJ67" i="6"/>
  <c r="AN69" i="7" s="1"/>
  <c r="AJ19" i="6"/>
  <c r="H80" i="18" s="1"/>
  <c r="AN45" i="7"/>
  <c r="AG70" i="6"/>
  <c r="AH72" i="7" s="1"/>
  <c r="AG22" i="6"/>
  <c r="AG30" i="6" s="1"/>
  <c r="AH48" i="7"/>
  <c r="AN68" i="29"/>
  <c r="AN21" i="29"/>
  <c r="AN66" i="29"/>
  <c r="AN19" i="29"/>
  <c r="AT61" i="29"/>
  <c r="AT14" i="29"/>
  <c r="AS68" i="29"/>
  <c r="AS21" i="29"/>
  <c r="AS64" i="29"/>
  <c r="AS17" i="29"/>
  <c r="AS16" i="29"/>
  <c r="AG67" i="6"/>
  <c r="AH69" i="7" s="1"/>
  <c r="AG19" i="6"/>
  <c r="AH45" i="7"/>
  <c r="AJ69" i="6"/>
  <c r="AN71" i="7" s="1"/>
  <c r="AJ21" i="6"/>
  <c r="H82" i="18" s="1"/>
  <c r="AN47" i="7"/>
  <c r="AJ65" i="6"/>
  <c r="AN67" i="7" s="1"/>
  <c r="AJ17" i="6"/>
  <c r="H78" i="18" s="1"/>
  <c r="AN43" i="7"/>
  <c r="J166" i="30"/>
  <c r="AO67" i="29"/>
  <c r="AO20" i="29"/>
  <c r="AO65" i="29"/>
  <c r="AO18" i="29"/>
  <c r="AT67" i="29"/>
  <c r="AT20" i="29"/>
  <c r="AT65" i="29"/>
  <c r="AT18" i="29"/>
  <c r="AT63" i="29"/>
  <c r="AT16" i="29"/>
  <c r="AS15" i="29"/>
  <c r="AG66" i="6"/>
  <c r="AH68" i="7" s="1"/>
  <c r="AG18" i="6"/>
  <c r="AH44" i="7"/>
  <c r="AJ68" i="6"/>
  <c r="AN70" i="7" s="1"/>
  <c r="AJ20" i="6"/>
  <c r="H81" i="18" s="1"/>
  <c r="AN46" i="7"/>
  <c r="AJ64" i="6"/>
  <c r="AN66" i="7" s="1"/>
  <c r="AJ16" i="6"/>
  <c r="H77" i="18" s="1"/>
  <c r="AN42" i="7"/>
  <c r="H166" i="30"/>
  <c r="AT68" i="5"/>
  <c r="AT65" i="5"/>
  <c r="AS43" i="29"/>
  <c r="AT63" i="5"/>
  <c r="AT39" i="29"/>
  <c r="AN42" i="29"/>
  <c r="AT66" i="5"/>
  <c r="X111" i="6"/>
  <c r="R114" i="7" s="1"/>
  <c r="AD114" i="6"/>
  <c r="AB117" i="7" s="1"/>
  <c r="AD89" i="6"/>
  <c r="AB91" i="7" s="1"/>
  <c r="AD92" i="6"/>
  <c r="AB94" i="7" s="1"/>
  <c r="AA110" i="6"/>
  <c r="V113" i="7" s="1"/>
  <c r="AA111" i="6"/>
  <c r="V114" i="7" s="1"/>
  <c r="AA112" i="6"/>
  <c r="V115" i="7" s="1"/>
  <c r="V128" i="7" s="1"/>
  <c r="AA113" i="6"/>
  <c r="V116" i="7" s="1"/>
  <c r="X115" i="6"/>
  <c r="R118" i="7" s="1"/>
  <c r="X88" i="6"/>
  <c r="R90" i="7" s="1"/>
  <c r="W90" i="7" s="1"/>
  <c r="AG89" i="6"/>
  <c r="AH91" i="7" s="1"/>
  <c r="AD90" i="6"/>
  <c r="AB92" i="7" s="1"/>
  <c r="X44" i="6"/>
  <c r="X112" i="6"/>
  <c r="R115" i="7" s="1"/>
  <c r="X116" i="6"/>
  <c r="R119" i="7" s="1"/>
  <c r="AA88" i="6"/>
  <c r="V90" i="7" s="1"/>
  <c r="AA90" i="6"/>
  <c r="V92" i="7" s="1"/>
  <c r="AD93" i="6"/>
  <c r="AB95" i="7" s="1"/>
  <c r="AA39" i="6"/>
  <c r="AD43" i="6"/>
  <c r="AD45" i="6"/>
  <c r="AD86" i="6"/>
  <c r="AB88" i="7" s="1"/>
  <c r="AD87" i="6"/>
  <c r="AB89" i="7" s="1"/>
  <c r="AG88" i="6"/>
  <c r="AH90" i="7" s="1"/>
  <c r="X89" i="6"/>
  <c r="R91" i="7" s="1"/>
  <c r="W91" i="7" s="1"/>
  <c r="X91" i="6"/>
  <c r="R93" i="7" s="1"/>
  <c r="W93" i="7" s="1"/>
  <c r="X92" i="6"/>
  <c r="R94" i="7" s="1"/>
  <c r="W94" i="7" s="1"/>
  <c r="X93" i="6"/>
  <c r="R95" i="7" s="1"/>
  <c r="W95" i="7" s="1"/>
  <c r="AA94" i="6"/>
  <c r="V96" i="7" s="1"/>
  <c r="X110" i="6"/>
  <c r="R113" i="7" s="1"/>
  <c r="X113" i="6"/>
  <c r="R116" i="7" s="1"/>
  <c r="AD117" i="6"/>
  <c r="AB120" i="7" s="1"/>
  <c r="X87" i="6"/>
  <c r="R89" i="7" s="1"/>
  <c r="W89" i="7" s="1"/>
  <c r="X40" i="6"/>
  <c r="AD91" i="6"/>
  <c r="AB93" i="7" s="1"/>
  <c r="AA38" i="6"/>
  <c r="AD40" i="6"/>
  <c r="AG110" i="6"/>
  <c r="AH113" i="7" s="1"/>
  <c r="AG111" i="6"/>
  <c r="AH114" i="7" s="1"/>
  <c r="AG112" i="6"/>
  <c r="AH115" i="7" s="1"/>
  <c r="AH128" i="7" s="1"/>
  <c r="AA114" i="6"/>
  <c r="V117" i="7" s="1"/>
  <c r="AD115" i="6"/>
  <c r="AB118" i="7" s="1"/>
  <c r="AA117" i="6"/>
  <c r="V120" i="7" s="1"/>
  <c r="AA116" i="6"/>
  <c r="V119" i="7" s="1"/>
  <c r="AG86" i="6"/>
  <c r="AH88" i="7" s="1"/>
  <c r="AG87" i="6"/>
  <c r="AH89" i="7" s="1"/>
  <c r="AA89" i="6"/>
  <c r="V91" i="7" s="1"/>
  <c r="X90" i="6"/>
  <c r="R92" i="7" s="1"/>
  <c r="AA91" i="6"/>
  <c r="V93" i="7" s="1"/>
  <c r="AA92" i="6"/>
  <c r="V94" i="7" s="1"/>
  <c r="AA93" i="6"/>
  <c r="V95" i="7" s="1"/>
  <c r="AT46" i="29"/>
  <c r="AS46" i="29"/>
  <c r="AS68" i="5"/>
  <c r="AO68" i="5"/>
  <c r="AN68" i="5"/>
  <c r="AS67" i="5"/>
  <c r="AT67" i="5"/>
  <c r="AO67" i="5"/>
  <c r="AN44" i="29"/>
  <c r="AN66" i="5"/>
  <c r="AO66" i="5"/>
  <c r="AT61" i="5"/>
  <c r="AS65" i="5"/>
  <c r="AO65" i="5"/>
  <c r="AT64" i="5"/>
  <c r="AS64" i="5"/>
  <c r="AD39" i="6"/>
  <c r="AD38" i="6"/>
  <c r="AG40" i="6"/>
  <c r="AA42" i="6"/>
  <c r="AA44" i="6"/>
  <c r="AG38" i="6"/>
  <c r="AG39" i="6"/>
  <c r="AG41" i="6"/>
  <c r="AD42" i="6"/>
  <c r="AD44" i="6"/>
  <c r="AA46" i="6"/>
  <c r="X39" i="6"/>
  <c r="AA40" i="6"/>
  <c r="AA41" i="6"/>
  <c r="AA43" i="6"/>
  <c r="AA45" i="6"/>
  <c r="AD46" i="6"/>
  <c r="AD109" i="6"/>
  <c r="AB112" i="7" s="1"/>
  <c r="AD110" i="6"/>
  <c r="AB113" i="7" s="1"/>
  <c r="AD111" i="6"/>
  <c r="AB114" i="7" s="1"/>
  <c r="AD112" i="6"/>
  <c r="AB115" i="7" s="1"/>
  <c r="AB128" i="7" s="1"/>
  <c r="AD113" i="6"/>
  <c r="AB116" i="7" s="1"/>
  <c r="AA115" i="6"/>
  <c r="V118" i="7" s="1"/>
  <c r="AE113" i="29"/>
  <c r="X117" i="6"/>
  <c r="R120" i="7" s="1"/>
  <c r="Z115" i="29"/>
  <c r="X114" i="6"/>
  <c r="R117" i="7" s="1"/>
  <c r="Z112" i="29"/>
  <c r="AA86" i="6"/>
  <c r="V88" i="7" s="1"/>
  <c r="AA87" i="6"/>
  <c r="V89" i="7" s="1"/>
  <c r="AD88" i="6"/>
  <c r="AB90" i="7" s="1"/>
  <c r="X41" i="6"/>
  <c r="Z91" i="5"/>
  <c r="Z87" i="5"/>
  <c r="AN84" i="29"/>
  <c r="AO87" i="29"/>
  <c r="AO85" i="29"/>
  <c r="Z114" i="29"/>
  <c r="Z110" i="29"/>
  <c r="AE114" i="29"/>
  <c r="AE110" i="29"/>
  <c r="AN107" i="29"/>
  <c r="AN108" i="29"/>
  <c r="X42" i="6"/>
  <c r="X43" i="6"/>
  <c r="X45" i="6"/>
  <c r="Z90" i="5"/>
  <c r="Z86" i="5"/>
  <c r="AE86" i="29"/>
  <c r="AO84" i="29"/>
  <c r="AN87" i="29"/>
  <c r="AN85" i="29"/>
  <c r="Z113" i="29"/>
  <c r="Z109" i="29"/>
  <c r="AJ114" i="29"/>
  <c r="AN115" i="29"/>
  <c r="Z85" i="5"/>
  <c r="Z89" i="5"/>
  <c r="AO92" i="29"/>
  <c r="AO86" i="29"/>
  <c r="Z108" i="29"/>
  <c r="AE107" i="29"/>
  <c r="AE112" i="29"/>
  <c r="AE108" i="29"/>
  <c r="AN110" i="29"/>
  <c r="Z88" i="5"/>
  <c r="AI84" i="29"/>
  <c r="AN92" i="29"/>
  <c r="AN86" i="29"/>
  <c r="Z111" i="29"/>
  <c r="AE115" i="29"/>
  <c r="AE111" i="29"/>
  <c r="AN109" i="29"/>
  <c r="R472" i="22" l="1"/>
  <c r="Q473" i="22"/>
  <c r="Q474" i="22" s="1"/>
  <c r="Q476" i="22" s="1"/>
  <c r="P485" i="22"/>
  <c r="P487" i="22" s="1"/>
  <c r="P477" i="22"/>
  <c r="Q442" i="22"/>
  <c r="Q443" i="22" s="1"/>
  <c r="Q445" i="22" s="1"/>
  <c r="R441" i="22"/>
  <c r="P454" i="22"/>
  <c r="P456" i="22" s="1"/>
  <c r="P446" i="22"/>
  <c r="S384" i="22"/>
  <c r="S392" i="22"/>
  <c r="S394" i="22" s="1"/>
  <c r="T411" i="22"/>
  <c r="T412" i="22" s="1"/>
  <c r="T414" i="22" s="1"/>
  <c r="U410" i="22"/>
  <c r="R348" i="22"/>
  <c r="Q349" i="22"/>
  <c r="Q350" i="22" s="1"/>
  <c r="Q352" i="22" s="1"/>
  <c r="U379" i="22"/>
  <c r="T380" i="22"/>
  <c r="T381" i="22" s="1"/>
  <c r="T383" i="22" s="1"/>
  <c r="S415" i="22"/>
  <c r="S423" i="22"/>
  <c r="S425" i="22" s="1"/>
  <c r="P361" i="22"/>
  <c r="P363" i="22" s="1"/>
  <c r="P353" i="22"/>
  <c r="R128" i="7"/>
  <c r="W92" i="7"/>
  <c r="W104" i="7" s="1"/>
  <c r="R104" i="7"/>
  <c r="H83" i="18"/>
  <c r="AJ30" i="6"/>
  <c r="AE109" i="29"/>
  <c r="AE16" i="5"/>
  <c r="Z89" i="29"/>
  <c r="Z19" i="5"/>
  <c r="Z87" i="29"/>
  <c r="Z17" i="5"/>
  <c r="AE92" i="29"/>
  <c r="AE22" i="5"/>
  <c r="AE87" i="29"/>
  <c r="AE17" i="5"/>
  <c r="AE84" i="29"/>
  <c r="AE14" i="5"/>
  <c r="Z86" i="29"/>
  <c r="Z16" i="5"/>
  <c r="AE85" i="29"/>
  <c r="AE15" i="5"/>
  <c r="AE88" i="29"/>
  <c r="AE18" i="5"/>
  <c r="Z85" i="29"/>
  <c r="Z15" i="5"/>
  <c r="Z90" i="29"/>
  <c r="Z20" i="5"/>
  <c r="Z91" i="29"/>
  <c r="Z21" i="5"/>
  <c r="Z88" i="29"/>
  <c r="Z18" i="5"/>
  <c r="AE89" i="29"/>
  <c r="AE19" i="5"/>
  <c r="AE90" i="29"/>
  <c r="AE20" i="5"/>
  <c r="AE91" i="29"/>
  <c r="AE21" i="5"/>
  <c r="X67" i="6"/>
  <c r="R69" i="7" s="1"/>
  <c r="W69" i="7" s="1"/>
  <c r="X19" i="6"/>
  <c r="D80" i="18" s="1"/>
  <c r="AD63" i="6"/>
  <c r="AB65" i="7" s="1"/>
  <c r="AB41" i="7"/>
  <c r="AD15" i="6"/>
  <c r="AA69" i="6"/>
  <c r="V71" i="7" s="1"/>
  <c r="V47" i="7"/>
  <c r="AA21" i="6"/>
  <c r="AG62" i="6"/>
  <c r="AH64" i="7" s="1"/>
  <c r="AG14" i="6"/>
  <c r="AH40" i="7"/>
  <c r="AD67" i="6"/>
  <c r="AB69" i="7" s="1"/>
  <c r="AB45" i="7"/>
  <c r="AD19" i="6"/>
  <c r="AS66" i="29"/>
  <c r="AS19" i="29"/>
  <c r="X69" i="6"/>
  <c r="R71" i="7" s="1"/>
  <c r="W71" i="7" s="1"/>
  <c r="X21" i="6"/>
  <c r="X66" i="6"/>
  <c r="R68" i="7" s="1"/>
  <c r="W68" i="7" s="1"/>
  <c r="X18" i="6"/>
  <c r="D79" i="18" s="1"/>
  <c r="X65" i="6"/>
  <c r="R67" i="7" s="1"/>
  <c r="W67" i="7" s="1"/>
  <c r="X17" i="6"/>
  <c r="D78" i="18" s="1"/>
  <c r="AA67" i="6"/>
  <c r="V69" i="7" s="1"/>
  <c r="V45" i="7"/>
  <c r="AA19" i="6"/>
  <c r="E80" i="18" s="1"/>
  <c r="AA70" i="6"/>
  <c r="V72" i="7" s="1"/>
  <c r="AA22" i="6"/>
  <c r="AA30" i="6" s="1"/>
  <c r="V48" i="7"/>
  <c r="AA68" i="6"/>
  <c r="V70" i="7" s="1"/>
  <c r="V46" i="7"/>
  <c r="AN67" i="29"/>
  <c r="AN20" i="29"/>
  <c r="AT69" i="29"/>
  <c r="AT22" i="29"/>
  <c r="AN65" i="29"/>
  <c r="AN18" i="29"/>
  <c r="AD17" i="6"/>
  <c r="AA20" i="6"/>
  <c r="E81" i="18" s="1"/>
  <c r="AD70" i="6"/>
  <c r="AB72" i="7" s="1"/>
  <c r="AD22" i="6"/>
  <c r="AD30" i="6" s="1"/>
  <c r="AB48" i="7"/>
  <c r="AA64" i="6"/>
  <c r="V66" i="7" s="1"/>
  <c r="V42" i="7"/>
  <c r="AA16" i="6"/>
  <c r="E77" i="18" s="1"/>
  <c r="AD66" i="6"/>
  <c r="AB68" i="7" s="1"/>
  <c r="AD18" i="6"/>
  <c r="AB44" i="7"/>
  <c r="AG64" i="6"/>
  <c r="AH66" i="7" s="1"/>
  <c r="AH42" i="7"/>
  <c r="AG16" i="6"/>
  <c r="X63" i="6"/>
  <c r="R65" i="7" s="1"/>
  <c r="W65" i="7" s="1"/>
  <c r="X15" i="6"/>
  <c r="D76" i="18" s="1"/>
  <c r="AG65" i="6"/>
  <c r="AH67" i="7" s="1"/>
  <c r="AH43" i="7"/>
  <c r="AG17" i="6"/>
  <c r="AD62" i="6"/>
  <c r="AB64" i="7" s="1"/>
  <c r="AB40" i="7"/>
  <c r="AD14" i="6"/>
  <c r="AS69" i="29"/>
  <c r="AS22" i="29"/>
  <c r="AA62" i="6"/>
  <c r="V64" i="7" s="1"/>
  <c r="AA14" i="6"/>
  <c r="V40" i="7"/>
  <c r="X64" i="6"/>
  <c r="R66" i="7" s="1"/>
  <c r="W66" i="7" s="1"/>
  <c r="X16" i="6"/>
  <c r="D77" i="18" s="1"/>
  <c r="X68" i="6"/>
  <c r="R70" i="7" s="1"/>
  <c r="W70" i="7" s="1"/>
  <c r="X20" i="6"/>
  <c r="D81" i="18" s="1"/>
  <c r="AA65" i="6"/>
  <c r="V67" i="7" s="1"/>
  <c r="AA17" i="6"/>
  <c r="E78" i="18" s="1"/>
  <c r="V43" i="7"/>
  <c r="AD68" i="6"/>
  <c r="AB70" i="7" s="1"/>
  <c r="AB46" i="7"/>
  <c r="AD20" i="6"/>
  <c r="AG63" i="6"/>
  <c r="AH65" i="7" s="1"/>
  <c r="AG15" i="6"/>
  <c r="AH41" i="7"/>
  <c r="AA66" i="6"/>
  <c r="V68" i="7" s="1"/>
  <c r="AA18" i="6"/>
  <c r="E79" i="18" s="1"/>
  <c r="V44" i="7"/>
  <c r="AD64" i="6"/>
  <c r="AB66" i="7" s="1"/>
  <c r="AB42" i="7"/>
  <c r="AD16" i="6"/>
  <c r="AD69" i="6"/>
  <c r="AB71" i="7" s="1"/>
  <c r="AD21" i="6"/>
  <c r="AB47" i="7"/>
  <c r="AA63" i="6"/>
  <c r="V65" i="7" s="1"/>
  <c r="V41" i="7"/>
  <c r="AA15" i="6"/>
  <c r="E76" i="18" s="1"/>
  <c r="AT62" i="29"/>
  <c r="AT15" i="29"/>
  <c r="I136" i="26"/>
  <c r="AI89" i="29"/>
  <c r="AJ89" i="29"/>
  <c r="AJ113" i="29"/>
  <c r="AI113" i="29"/>
  <c r="AJ115" i="29"/>
  <c r="AI115" i="29"/>
  <c r="AJ110" i="29"/>
  <c r="AI110" i="29"/>
  <c r="AI42" i="29"/>
  <c r="AI65" i="5"/>
  <c r="AO38" i="29"/>
  <c r="AO61" i="5"/>
  <c r="AJ112" i="29"/>
  <c r="AI112" i="29"/>
  <c r="AN39" i="29"/>
  <c r="AN62" i="5"/>
  <c r="AI91" i="29"/>
  <c r="AJ91" i="29"/>
  <c r="AI45" i="29"/>
  <c r="AI68" i="5"/>
  <c r="AI88" i="29"/>
  <c r="AJ88" i="29"/>
  <c r="AO69" i="5"/>
  <c r="AO46" i="29"/>
  <c r="AI85" i="29"/>
  <c r="AJ85" i="29"/>
  <c r="AE39" i="29"/>
  <c r="AE62" i="5"/>
  <c r="AI86" i="29"/>
  <c r="AJ86" i="29"/>
  <c r="AJ111" i="29"/>
  <c r="AI111" i="29"/>
  <c r="AJ109" i="29"/>
  <c r="AI109" i="29"/>
  <c r="AJ107" i="29"/>
  <c r="AI107" i="29"/>
  <c r="Z68" i="5"/>
  <c r="Z45" i="29"/>
  <c r="Z66" i="5"/>
  <c r="Z43" i="29"/>
  <c r="Z64" i="5"/>
  <c r="Z41" i="29"/>
  <c r="Z40" i="29"/>
  <c r="Z63" i="5"/>
  <c r="AI44" i="29"/>
  <c r="AI67" i="5"/>
  <c r="AO39" i="29"/>
  <c r="AO62" i="5"/>
  <c r="Z44" i="29"/>
  <c r="Z67" i="5"/>
  <c r="Z42" i="29"/>
  <c r="Z65" i="5"/>
  <c r="AO63" i="5"/>
  <c r="AO40" i="29"/>
  <c r="AI61" i="5"/>
  <c r="AI38" i="29"/>
  <c r="AI43" i="29"/>
  <c r="AI66" i="5"/>
  <c r="Z62" i="5"/>
  <c r="Z39" i="29"/>
  <c r="AJ108" i="29"/>
  <c r="AI108" i="29"/>
  <c r="AN41" i="29"/>
  <c r="AN64" i="5"/>
  <c r="AI39" i="29"/>
  <c r="AI62" i="5"/>
  <c r="AI40" i="29"/>
  <c r="AI63" i="5"/>
  <c r="AI46" i="29"/>
  <c r="AI69" i="5"/>
  <c r="AO41" i="29"/>
  <c r="AO64" i="5"/>
  <c r="AN46" i="29"/>
  <c r="AN69" i="5"/>
  <c r="AI90" i="29"/>
  <c r="AJ90" i="29"/>
  <c r="AI87" i="29"/>
  <c r="AJ87" i="29"/>
  <c r="AI41" i="29"/>
  <c r="AI64" i="5"/>
  <c r="AI92" i="29"/>
  <c r="AJ92" i="29"/>
  <c r="AE38" i="29"/>
  <c r="AE61" i="5"/>
  <c r="AE45" i="29"/>
  <c r="AE68" i="5"/>
  <c r="AE43" i="29"/>
  <c r="AE66" i="5"/>
  <c r="AE41" i="29"/>
  <c r="AE64" i="5"/>
  <c r="AE63" i="5"/>
  <c r="AE40" i="29"/>
  <c r="AE69" i="5"/>
  <c r="AE46" i="29"/>
  <c r="AN38" i="29"/>
  <c r="AN61" i="5"/>
  <c r="AE67" i="5"/>
  <c r="AE44" i="29"/>
  <c r="AE65" i="5"/>
  <c r="AE42" i="29"/>
  <c r="AN40" i="29"/>
  <c r="AN63" i="5"/>
  <c r="Q456" i="22" l="1"/>
  <c r="T384" i="22"/>
  <c r="T392" i="22"/>
  <c r="T394" i="22" s="1"/>
  <c r="R442" i="22"/>
  <c r="R443" i="22" s="1"/>
  <c r="R445" i="22" s="1"/>
  <c r="S441" i="22"/>
  <c r="V379" i="22"/>
  <c r="U380" i="22"/>
  <c r="U381" i="22" s="1"/>
  <c r="U383" i="22" s="1"/>
  <c r="Q454" i="22"/>
  <c r="Q446" i="22"/>
  <c r="Q361" i="22"/>
  <c r="Q363" i="22" s="1"/>
  <c r="Q353" i="22"/>
  <c r="S348" i="22"/>
  <c r="R349" i="22"/>
  <c r="R350" i="22" s="1"/>
  <c r="R352" i="22" s="1"/>
  <c r="U411" i="22"/>
  <c r="U412" i="22" s="1"/>
  <c r="U414" i="22" s="1"/>
  <c r="V410" i="22"/>
  <c r="Q485" i="22"/>
  <c r="Q487" i="22" s="1"/>
  <c r="Q477" i="22"/>
  <c r="T423" i="22"/>
  <c r="T425" i="22" s="1"/>
  <c r="T415" i="22"/>
  <c r="S472" i="22"/>
  <c r="R473" i="22"/>
  <c r="R474" i="22" s="1"/>
  <c r="R476" i="22" s="1"/>
  <c r="E82" i="18"/>
  <c r="D82" i="18"/>
  <c r="E83" i="18"/>
  <c r="AE67" i="29"/>
  <c r="AE20" i="29"/>
  <c r="AO69" i="29"/>
  <c r="AO22" i="29"/>
  <c r="AE64" i="29"/>
  <c r="AE17" i="29"/>
  <c r="AN69" i="29"/>
  <c r="AN22" i="29"/>
  <c r="AI69" i="29"/>
  <c r="AI22" i="29"/>
  <c r="AI66" i="29"/>
  <c r="AI19" i="29"/>
  <c r="Z67" i="29"/>
  <c r="Z20" i="29"/>
  <c r="Z63" i="29"/>
  <c r="Z16" i="29"/>
  <c r="AN62" i="29"/>
  <c r="AN15" i="29"/>
  <c r="AE63" i="29"/>
  <c r="AE16" i="29"/>
  <c r="Z62" i="29"/>
  <c r="Z15" i="29"/>
  <c r="Z68" i="29"/>
  <c r="Z21" i="29"/>
  <c r="AE69" i="29"/>
  <c r="AE22" i="29"/>
  <c r="AO63" i="29"/>
  <c r="AO16" i="29"/>
  <c r="Z66" i="29"/>
  <c r="Z19" i="29"/>
  <c r="AN63" i="29"/>
  <c r="AN16" i="29"/>
  <c r="AE68" i="29"/>
  <c r="AE21" i="29"/>
  <c r="AI62" i="29"/>
  <c r="AI15" i="29"/>
  <c r="AI67" i="29"/>
  <c r="AI20" i="29"/>
  <c r="AE62" i="29"/>
  <c r="AE15" i="29"/>
  <c r="AI68" i="29"/>
  <c r="AI21" i="29"/>
  <c r="AO61" i="29"/>
  <c r="AO14" i="29"/>
  <c r="AE65" i="29"/>
  <c r="AE18" i="29"/>
  <c r="AI61" i="29"/>
  <c r="AI14" i="29"/>
  <c r="Z64" i="29"/>
  <c r="Z17" i="29"/>
  <c r="AN61" i="29"/>
  <c r="AN14" i="29"/>
  <c r="AE66" i="29"/>
  <c r="AE19" i="29"/>
  <c r="AE61" i="29"/>
  <c r="AE14" i="29"/>
  <c r="AI64" i="29"/>
  <c r="AI17" i="29"/>
  <c r="AO64" i="29"/>
  <c r="AO17" i="29"/>
  <c r="AI63" i="29"/>
  <c r="AI16" i="29"/>
  <c r="AN64" i="29"/>
  <c r="AN17" i="29"/>
  <c r="Z65" i="29"/>
  <c r="Z18" i="29"/>
  <c r="AO62" i="29"/>
  <c r="AO15" i="29"/>
  <c r="AI65" i="29"/>
  <c r="AI18" i="29"/>
  <c r="AJ46" i="29"/>
  <c r="AJ69" i="5"/>
  <c r="AJ40" i="29"/>
  <c r="AJ63" i="5"/>
  <c r="AJ66" i="5"/>
  <c r="AJ43" i="29"/>
  <c r="AJ44" i="29"/>
  <c r="AJ67" i="5"/>
  <c r="AJ42" i="29"/>
  <c r="AJ65" i="5"/>
  <c r="AJ64" i="5"/>
  <c r="AJ41" i="29"/>
  <c r="AJ62" i="5"/>
  <c r="AJ39" i="29"/>
  <c r="AJ38" i="29"/>
  <c r="AJ61" i="5"/>
  <c r="AJ68" i="5"/>
  <c r="AJ45" i="29"/>
  <c r="G83" i="18"/>
  <c r="F83" i="18"/>
  <c r="G82" i="18"/>
  <c r="F82" i="18"/>
  <c r="G81" i="18"/>
  <c r="F81" i="18"/>
  <c r="G79" i="18"/>
  <c r="F79" i="18"/>
  <c r="W161" i="13"/>
  <c r="U161" i="13"/>
  <c r="S161" i="13"/>
  <c r="Q161" i="13"/>
  <c r="K161" i="13"/>
  <c r="I161" i="13"/>
  <c r="G161" i="13"/>
  <c r="E161" i="13"/>
  <c r="D161" i="13"/>
  <c r="D159" i="13"/>
  <c r="W115" i="13"/>
  <c r="U115" i="13"/>
  <c r="S115" i="13"/>
  <c r="Q115" i="13"/>
  <c r="O115" i="13"/>
  <c r="K115" i="13"/>
  <c r="I115" i="13"/>
  <c r="G115" i="13"/>
  <c r="E115" i="13"/>
  <c r="D115" i="13"/>
  <c r="W114" i="13"/>
  <c r="U114" i="13"/>
  <c r="S114" i="13"/>
  <c r="Q114" i="13"/>
  <c r="O114" i="13"/>
  <c r="K114" i="13"/>
  <c r="I114" i="13"/>
  <c r="G114" i="13"/>
  <c r="E114" i="13"/>
  <c r="D114" i="13"/>
  <c r="W113" i="13"/>
  <c r="U113" i="13"/>
  <c r="S113" i="13"/>
  <c r="Q113" i="13"/>
  <c r="O113" i="13"/>
  <c r="K113" i="13"/>
  <c r="I113" i="13"/>
  <c r="G113" i="13"/>
  <c r="E113" i="13"/>
  <c r="D113" i="13"/>
  <c r="W112" i="13"/>
  <c r="U112" i="13"/>
  <c r="S112" i="13"/>
  <c r="Q112" i="13"/>
  <c r="O112" i="13"/>
  <c r="K112" i="13"/>
  <c r="I112" i="13"/>
  <c r="G112" i="13"/>
  <c r="E112" i="13"/>
  <c r="D112" i="13"/>
  <c r="W111" i="13"/>
  <c r="U111" i="13"/>
  <c r="S111" i="13"/>
  <c r="Q111" i="13"/>
  <c r="O111" i="13"/>
  <c r="K111" i="13"/>
  <c r="I111" i="13"/>
  <c r="G111" i="13"/>
  <c r="E111" i="13"/>
  <c r="D111" i="13"/>
  <c r="K92" i="13"/>
  <c r="I92" i="13"/>
  <c r="G92" i="13"/>
  <c r="E92" i="13"/>
  <c r="D92" i="13"/>
  <c r="K90" i="13"/>
  <c r="I90" i="13"/>
  <c r="G90" i="13"/>
  <c r="E90" i="13"/>
  <c r="D90" i="13"/>
  <c r="K69" i="13"/>
  <c r="I69" i="13"/>
  <c r="G69" i="13"/>
  <c r="E69" i="13"/>
  <c r="D69" i="13"/>
  <c r="K68" i="13"/>
  <c r="I68" i="13"/>
  <c r="G68" i="13"/>
  <c r="E68" i="13"/>
  <c r="D68" i="13"/>
  <c r="D67" i="13"/>
  <c r="D66" i="13"/>
  <c r="D65" i="13"/>
  <c r="K46" i="13"/>
  <c r="I46" i="13"/>
  <c r="G46" i="13"/>
  <c r="E46" i="13"/>
  <c r="D46" i="13"/>
  <c r="K45" i="13"/>
  <c r="I45" i="13"/>
  <c r="G45" i="13"/>
  <c r="E45" i="13"/>
  <c r="D45" i="13"/>
  <c r="D44" i="13"/>
  <c r="D43" i="13"/>
  <c r="D42" i="13"/>
  <c r="H188" i="27"/>
  <c r="G188" i="27"/>
  <c r="F188" i="27"/>
  <c r="E188" i="27"/>
  <c r="D188" i="27"/>
  <c r="H187" i="27"/>
  <c r="G187" i="27"/>
  <c r="F187" i="27"/>
  <c r="E187" i="27"/>
  <c r="D187" i="27"/>
  <c r="H186" i="27"/>
  <c r="G186" i="27"/>
  <c r="F186" i="27"/>
  <c r="E186" i="27"/>
  <c r="D186" i="27"/>
  <c r="H185" i="27"/>
  <c r="G185" i="27"/>
  <c r="F185" i="27"/>
  <c r="E185" i="27"/>
  <c r="D185" i="27"/>
  <c r="H184" i="27"/>
  <c r="G184" i="27"/>
  <c r="F184" i="27"/>
  <c r="E184" i="27"/>
  <c r="D184" i="27"/>
  <c r="H166" i="27"/>
  <c r="G166" i="27"/>
  <c r="F166" i="27"/>
  <c r="E166" i="27"/>
  <c r="D166" i="27"/>
  <c r="H165" i="27"/>
  <c r="G165" i="27"/>
  <c r="F165" i="27"/>
  <c r="E165" i="27"/>
  <c r="D165" i="27"/>
  <c r="H164" i="27"/>
  <c r="G164" i="27"/>
  <c r="F164" i="27"/>
  <c r="E164" i="27"/>
  <c r="D164" i="27"/>
  <c r="H163" i="27"/>
  <c r="G163" i="27"/>
  <c r="F163" i="27"/>
  <c r="E163" i="27"/>
  <c r="D163" i="27"/>
  <c r="H146" i="27"/>
  <c r="G146" i="27"/>
  <c r="F146" i="27"/>
  <c r="E146" i="27"/>
  <c r="H145" i="27"/>
  <c r="G145" i="27"/>
  <c r="F145" i="27"/>
  <c r="E145" i="27"/>
  <c r="H144" i="27"/>
  <c r="G144" i="27"/>
  <c r="F144" i="27"/>
  <c r="E144" i="27"/>
  <c r="H143" i="27"/>
  <c r="G143" i="27"/>
  <c r="F143" i="27"/>
  <c r="E143" i="27"/>
  <c r="H142" i="27"/>
  <c r="G142" i="27"/>
  <c r="F142" i="27"/>
  <c r="E142" i="27"/>
  <c r="H125" i="27"/>
  <c r="G125" i="27"/>
  <c r="H124" i="27"/>
  <c r="G124" i="27"/>
  <c r="F124" i="27"/>
  <c r="H123" i="27"/>
  <c r="G123" i="27"/>
  <c r="F123" i="27"/>
  <c r="H122" i="27"/>
  <c r="G122" i="27"/>
  <c r="F122" i="27"/>
  <c r="H121" i="27"/>
  <c r="G121" i="27"/>
  <c r="F121" i="27"/>
  <c r="H40" i="27"/>
  <c r="G40" i="27"/>
  <c r="F40" i="27"/>
  <c r="H39" i="27"/>
  <c r="G39" i="27"/>
  <c r="F39" i="27"/>
  <c r="H37" i="27"/>
  <c r="G37" i="27"/>
  <c r="F37" i="27"/>
  <c r="X22" i="9"/>
  <c r="T22" i="9"/>
  <c r="P22" i="9"/>
  <c r="L22" i="9"/>
  <c r="H22" i="9"/>
  <c r="D22" i="9"/>
  <c r="X21" i="9"/>
  <c r="T21" i="9"/>
  <c r="P21" i="9"/>
  <c r="L21" i="9"/>
  <c r="H21" i="9"/>
  <c r="D21" i="9"/>
  <c r="X20" i="9"/>
  <c r="T20" i="9"/>
  <c r="P20" i="9"/>
  <c r="L20" i="9"/>
  <c r="H20" i="9"/>
  <c r="D20" i="9"/>
  <c r="X19" i="9"/>
  <c r="T19" i="9"/>
  <c r="P19" i="9"/>
  <c r="L19" i="9"/>
  <c r="H19" i="9"/>
  <c r="D19" i="9"/>
  <c r="X18" i="9"/>
  <c r="T18" i="9"/>
  <c r="P18" i="9"/>
  <c r="L18" i="9"/>
  <c r="H18" i="9"/>
  <c r="D18" i="9"/>
  <c r="D14" i="9"/>
  <c r="T168" i="7"/>
  <c r="W168" i="7" s="1"/>
  <c r="J168" i="7"/>
  <c r="H168" i="7"/>
  <c r="F168" i="7"/>
  <c r="T167" i="7"/>
  <c r="W167" i="7" s="1"/>
  <c r="J167" i="7"/>
  <c r="H167" i="7"/>
  <c r="F167" i="7"/>
  <c r="T166" i="7"/>
  <c r="W166" i="7" s="1"/>
  <c r="J166" i="7"/>
  <c r="H166" i="7"/>
  <c r="F166" i="7"/>
  <c r="T165" i="7"/>
  <c r="J165" i="7"/>
  <c r="H165" i="7"/>
  <c r="F165" i="7"/>
  <c r="T164" i="7"/>
  <c r="W164" i="7" s="1"/>
  <c r="J164" i="7"/>
  <c r="H164" i="7"/>
  <c r="F164" i="7"/>
  <c r="T152" i="7"/>
  <c r="P144" i="7"/>
  <c r="O144" i="7"/>
  <c r="N144" i="7"/>
  <c r="J144" i="7"/>
  <c r="H144" i="7"/>
  <c r="F144" i="7"/>
  <c r="T143" i="7"/>
  <c r="W143" i="7" s="1"/>
  <c r="P143" i="7"/>
  <c r="O143" i="7"/>
  <c r="N143" i="7"/>
  <c r="J143" i="7"/>
  <c r="H143" i="7"/>
  <c r="F143" i="7"/>
  <c r="T142" i="7"/>
  <c r="W142" i="7" s="1"/>
  <c r="P142" i="7"/>
  <c r="O142" i="7"/>
  <c r="N142" i="7"/>
  <c r="J142" i="7"/>
  <c r="H142" i="7"/>
  <c r="F142" i="7"/>
  <c r="T141" i="7"/>
  <c r="W141" i="7" s="1"/>
  <c r="P141" i="7"/>
  <c r="O141" i="7"/>
  <c r="N141" i="7"/>
  <c r="J141" i="7"/>
  <c r="H141" i="7"/>
  <c r="F141" i="7"/>
  <c r="T140" i="7"/>
  <c r="W140" i="7" s="1"/>
  <c r="P140" i="7"/>
  <c r="O140" i="7"/>
  <c r="N140" i="7"/>
  <c r="J140" i="7"/>
  <c r="H140" i="7"/>
  <c r="F140" i="7"/>
  <c r="T120" i="7"/>
  <c r="P120" i="7"/>
  <c r="O120" i="7"/>
  <c r="N120" i="7"/>
  <c r="J120" i="7"/>
  <c r="H120" i="7"/>
  <c r="F120" i="7"/>
  <c r="T119" i="7"/>
  <c r="W119" i="7" s="1"/>
  <c r="P119" i="7"/>
  <c r="O119" i="7"/>
  <c r="N119" i="7"/>
  <c r="J119" i="7"/>
  <c r="H119" i="7"/>
  <c r="F119" i="7"/>
  <c r="T118" i="7"/>
  <c r="W118" i="7" s="1"/>
  <c r="P118" i="7"/>
  <c r="O118" i="7"/>
  <c r="N118" i="7"/>
  <c r="J118" i="7"/>
  <c r="H118" i="7"/>
  <c r="F118" i="7"/>
  <c r="T117" i="7"/>
  <c r="W117" i="7" s="1"/>
  <c r="P117" i="7"/>
  <c r="O117" i="7"/>
  <c r="N117" i="7"/>
  <c r="J117" i="7"/>
  <c r="H117" i="7"/>
  <c r="F117" i="7"/>
  <c r="T116" i="7"/>
  <c r="W116" i="7" s="1"/>
  <c r="P116" i="7"/>
  <c r="O116" i="7"/>
  <c r="N116" i="7"/>
  <c r="J116" i="7"/>
  <c r="H116" i="7"/>
  <c r="F116" i="7"/>
  <c r="P96" i="7"/>
  <c r="O96" i="7"/>
  <c r="N96" i="7"/>
  <c r="J96" i="7"/>
  <c r="H96" i="7"/>
  <c r="F96" i="7"/>
  <c r="T95" i="7"/>
  <c r="P95" i="7"/>
  <c r="O95" i="7"/>
  <c r="N95" i="7"/>
  <c r="J95" i="7"/>
  <c r="H95" i="7"/>
  <c r="F95" i="7"/>
  <c r="T94" i="7"/>
  <c r="U94" i="7" s="1"/>
  <c r="P94" i="7"/>
  <c r="O94" i="7"/>
  <c r="N94" i="7"/>
  <c r="J94" i="7"/>
  <c r="H94" i="7"/>
  <c r="F94" i="7"/>
  <c r="T93" i="7"/>
  <c r="U93" i="7" s="1"/>
  <c r="P93" i="7"/>
  <c r="O93" i="7"/>
  <c r="N93" i="7"/>
  <c r="J93" i="7"/>
  <c r="H93" i="7"/>
  <c r="F93" i="7"/>
  <c r="T92" i="7"/>
  <c r="T104" i="7" s="1"/>
  <c r="P92" i="7"/>
  <c r="O92" i="7"/>
  <c r="N92" i="7"/>
  <c r="J92" i="7"/>
  <c r="H92" i="7"/>
  <c r="F92" i="7"/>
  <c r="P72" i="7"/>
  <c r="O72" i="7"/>
  <c r="N72" i="7"/>
  <c r="J72" i="7"/>
  <c r="H72" i="7"/>
  <c r="F72" i="7"/>
  <c r="T71" i="7"/>
  <c r="P71" i="7"/>
  <c r="O71" i="7"/>
  <c r="N71" i="7"/>
  <c r="J71" i="7"/>
  <c r="H71" i="7"/>
  <c r="F71" i="7"/>
  <c r="T70" i="7"/>
  <c r="P70" i="7"/>
  <c r="O70" i="7"/>
  <c r="N70" i="7"/>
  <c r="J70" i="7"/>
  <c r="H70" i="7"/>
  <c r="F70" i="7"/>
  <c r="T69" i="7"/>
  <c r="P69" i="7"/>
  <c r="O69" i="7"/>
  <c r="N69" i="7"/>
  <c r="J69" i="7"/>
  <c r="H69" i="7"/>
  <c r="F69" i="7"/>
  <c r="T68" i="7"/>
  <c r="P68" i="7"/>
  <c r="O68" i="7"/>
  <c r="N68" i="7"/>
  <c r="J68" i="7"/>
  <c r="H68" i="7"/>
  <c r="F68" i="7"/>
  <c r="P48" i="7"/>
  <c r="O48" i="7"/>
  <c r="N48" i="7"/>
  <c r="J48" i="7"/>
  <c r="H48" i="7"/>
  <c r="F48" i="7"/>
  <c r="P47" i="7"/>
  <c r="O47" i="7"/>
  <c r="N47" i="7"/>
  <c r="J47" i="7"/>
  <c r="H47" i="7"/>
  <c r="F47" i="7"/>
  <c r="P46" i="7"/>
  <c r="O46" i="7"/>
  <c r="N46" i="7"/>
  <c r="J46" i="7"/>
  <c r="H46" i="7"/>
  <c r="F46" i="7"/>
  <c r="P45" i="7"/>
  <c r="O45" i="7"/>
  <c r="N45" i="7"/>
  <c r="J45" i="7"/>
  <c r="H45" i="7"/>
  <c r="F45" i="7"/>
  <c r="P44" i="7"/>
  <c r="O44" i="7"/>
  <c r="N44" i="7"/>
  <c r="J44" i="7"/>
  <c r="H44" i="7"/>
  <c r="F44" i="7"/>
  <c r="AE21" i="7"/>
  <c r="Y21" i="7"/>
  <c r="S21" i="7"/>
  <c r="M21" i="7"/>
  <c r="K21" i="7"/>
  <c r="I21" i="7"/>
  <c r="G21" i="7"/>
  <c r="E21" i="7"/>
  <c r="D21" i="7"/>
  <c r="D136" i="13" s="1"/>
  <c r="AE23" i="7"/>
  <c r="Y23" i="7"/>
  <c r="S23" i="7"/>
  <c r="M23" i="7"/>
  <c r="K138" i="13" s="1"/>
  <c r="K23" i="7"/>
  <c r="I23" i="7"/>
  <c r="I138" i="13" s="1"/>
  <c r="G23" i="7"/>
  <c r="G138" i="13" s="1"/>
  <c r="E23" i="7"/>
  <c r="E138" i="13" s="1"/>
  <c r="D23" i="7"/>
  <c r="D138" i="13" s="1"/>
  <c r="AE22" i="7"/>
  <c r="Y22" i="7"/>
  <c r="S22" i="7"/>
  <c r="M22" i="7"/>
  <c r="K137" i="13" s="1"/>
  <c r="K22" i="7"/>
  <c r="I22" i="7"/>
  <c r="I137" i="13" s="1"/>
  <c r="G22" i="7"/>
  <c r="G137" i="13" s="1"/>
  <c r="E22" i="7"/>
  <c r="E137" i="13" s="1"/>
  <c r="D22" i="7"/>
  <c r="D137" i="13" s="1"/>
  <c r="AE20" i="7"/>
  <c r="Y20" i="7"/>
  <c r="S20" i="7"/>
  <c r="M20" i="7"/>
  <c r="K20" i="7"/>
  <c r="I20" i="7"/>
  <c r="G20" i="7"/>
  <c r="E20" i="7"/>
  <c r="D20" i="7"/>
  <c r="D135" i="13" s="1"/>
  <c r="R363" i="22" l="1"/>
  <c r="S442" i="22"/>
  <c r="S443" i="22" s="1"/>
  <c r="S445" i="22" s="1"/>
  <c r="T441" i="22"/>
  <c r="V411" i="22"/>
  <c r="V412" i="22" s="1"/>
  <c r="V414" i="22" s="1"/>
  <c r="W410" i="22"/>
  <c r="R454" i="22"/>
  <c r="R456" i="22" s="1"/>
  <c r="R446" i="22"/>
  <c r="U415" i="22"/>
  <c r="U423" i="22"/>
  <c r="U425" i="22" s="1"/>
  <c r="W379" i="22"/>
  <c r="V380" i="22"/>
  <c r="V381" i="22" s="1"/>
  <c r="V383" i="22" s="1"/>
  <c r="R361" i="22"/>
  <c r="R353" i="22"/>
  <c r="T348" i="22"/>
  <c r="S349" i="22"/>
  <c r="S350" i="22" s="1"/>
  <c r="S352" i="22" s="1"/>
  <c r="R477" i="22"/>
  <c r="R485" i="22"/>
  <c r="R487" i="22" s="1"/>
  <c r="T472" i="22"/>
  <c r="S473" i="22"/>
  <c r="S474" i="22" s="1"/>
  <c r="S476" i="22" s="1"/>
  <c r="U392" i="22"/>
  <c r="U394" i="22" s="1"/>
  <c r="U384" i="22"/>
  <c r="F112" i="13"/>
  <c r="D19" i="27"/>
  <c r="D19" i="18" s="1"/>
  <c r="E18" i="27"/>
  <c r="E18" i="18" s="1"/>
  <c r="F16" i="27"/>
  <c r="F164" i="22" s="1"/>
  <c r="F167" i="22" s="1"/>
  <c r="G16" i="27"/>
  <c r="G164" i="22" s="1"/>
  <c r="G185" i="22" s="1"/>
  <c r="D16" i="27"/>
  <c r="E19" i="27"/>
  <c r="E272" i="22" s="1"/>
  <c r="E293" i="22" s="1"/>
  <c r="I185" i="27"/>
  <c r="D17" i="27"/>
  <c r="D17" i="18" s="1"/>
  <c r="F18" i="27"/>
  <c r="F18" i="18" s="1"/>
  <c r="H18" i="27"/>
  <c r="H18" i="18" s="1"/>
  <c r="G18" i="27"/>
  <c r="G236" i="22" s="1"/>
  <c r="G257" i="22" s="1"/>
  <c r="F19" i="27"/>
  <c r="G19" i="27"/>
  <c r="H16" i="27"/>
  <c r="H16" i="18" s="1"/>
  <c r="H19" i="27"/>
  <c r="I186" i="27"/>
  <c r="D18" i="27"/>
  <c r="D236" i="22" s="1"/>
  <c r="D257" i="22" s="1"/>
  <c r="I188" i="27"/>
  <c r="L161" i="13"/>
  <c r="T161" i="13"/>
  <c r="J161" i="13"/>
  <c r="V161" i="13"/>
  <c r="H161" i="13"/>
  <c r="AJ66" i="29"/>
  <c r="AJ19" i="29"/>
  <c r="U120" i="7"/>
  <c r="W120" i="7"/>
  <c r="W165" i="7"/>
  <c r="AJ64" i="29"/>
  <c r="AJ17" i="29"/>
  <c r="AJ68" i="29"/>
  <c r="AJ21" i="29"/>
  <c r="AJ62" i="29"/>
  <c r="AJ15" i="29"/>
  <c r="AJ65" i="29"/>
  <c r="AJ18" i="29"/>
  <c r="AJ69" i="29"/>
  <c r="AJ22" i="29"/>
  <c r="W152" i="7"/>
  <c r="AJ61" i="29"/>
  <c r="AJ14" i="29"/>
  <c r="AJ67" i="29"/>
  <c r="AJ20" i="29"/>
  <c r="AJ63" i="29"/>
  <c r="AJ16" i="29"/>
  <c r="E17" i="27"/>
  <c r="E16" i="27"/>
  <c r="I79" i="18"/>
  <c r="I81" i="18"/>
  <c r="I82" i="18"/>
  <c r="M161" i="13"/>
  <c r="F161" i="13"/>
  <c r="X161" i="13"/>
  <c r="J137" i="13"/>
  <c r="F138" i="13"/>
  <c r="X111" i="13"/>
  <c r="H138" i="13"/>
  <c r="J138" i="13"/>
  <c r="T115" i="13"/>
  <c r="L138" i="13"/>
  <c r="R112" i="13"/>
  <c r="M138" i="13"/>
  <c r="H114" i="13"/>
  <c r="H137" i="13"/>
  <c r="L137" i="13"/>
  <c r="M137" i="13"/>
  <c r="J92" i="13"/>
  <c r="H115" i="13"/>
  <c r="T111" i="13"/>
  <c r="J115" i="13"/>
  <c r="F137" i="13"/>
  <c r="F111" i="13"/>
  <c r="J112" i="13"/>
  <c r="R113" i="13"/>
  <c r="V114" i="13"/>
  <c r="V111" i="13"/>
  <c r="L114" i="13"/>
  <c r="H112" i="13"/>
  <c r="L115" i="13"/>
  <c r="H111" i="13"/>
  <c r="M113" i="13"/>
  <c r="P115" i="13"/>
  <c r="J111" i="13"/>
  <c r="R115" i="13"/>
  <c r="M111" i="13"/>
  <c r="M112" i="13"/>
  <c r="R111" i="13"/>
  <c r="V113" i="13"/>
  <c r="V115" i="13"/>
  <c r="F115" i="13"/>
  <c r="Y115" i="13"/>
  <c r="T112" i="13"/>
  <c r="T113" i="13"/>
  <c r="T114" i="13"/>
  <c r="M115" i="13"/>
  <c r="V112" i="13"/>
  <c r="Y113" i="13"/>
  <c r="Y114" i="13"/>
  <c r="Y112" i="13"/>
  <c r="X113" i="13"/>
  <c r="F114" i="13"/>
  <c r="H113" i="13"/>
  <c r="J113" i="13"/>
  <c r="P111" i="13"/>
  <c r="J114" i="13"/>
  <c r="P114" i="13"/>
  <c r="X115" i="13"/>
  <c r="R114" i="13"/>
  <c r="M114" i="13"/>
  <c r="F92" i="13"/>
  <c r="L113" i="13"/>
  <c r="X112" i="13"/>
  <c r="L112" i="13"/>
  <c r="P113" i="13"/>
  <c r="F90" i="13"/>
  <c r="H90" i="13"/>
  <c r="L111" i="13"/>
  <c r="Y111" i="13"/>
  <c r="P112" i="13"/>
  <c r="F113" i="13"/>
  <c r="X114" i="13"/>
  <c r="J68" i="13"/>
  <c r="L92" i="13"/>
  <c r="J90" i="13"/>
  <c r="M92" i="13"/>
  <c r="H92" i="13"/>
  <c r="M90" i="13"/>
  <c r="L90" i="13"/>
  <c r="F69" i="13"/>
  <c r="H69" i="13"/>
  <c r="J69" i="13"/>
  <c r="H68" i="13"/>
  <c r="L69" i="13"/>
  <c r="M69" i="13"/>
  <c r="F68" i="13"/>
  <c r="H45" i="13"/>
  <c r="J45" i="13"/>
  <c r="L68" i="13"/>
  <c r="M68" i="13"/>
  <c r="F46" i="13"/>
  <c r="H46" i="13"/>
  <c r="J46" i="13"/>
  <c r="L45" i="13"/>
  <c r="M46" i="13"/>
  <c r="L46" i="13"/>
  <c r="F45" i="13"/>
  <c r="M45" i="13"/>
  <c r="I187" i="27"/>
  <c r="I164" i="27"/>
  <c r="I184" i="27"/>
  <c r="I166" i="27"/>
  <c r="I165" i="27"/>
  <c r="I163" i="27"/>
  <c r="I146" i="27"/>
  <c r="I145" i="27"/>
  <c r="I143" i="27"/>
  <c r="I144" i="27"/>
  <c r="I142" i="27"/>
  <c r="I125" i="27"/>
  <c r="I124" i="27"/>
  <c r="I122" i="27"/>
  <c r="I123" i="27"/>
  <c r="I121" i="27"/>
  <c r="I102" i="27"/>
  <c r="I103" i="27"/>
  <c r="I101" i="27"/>
  <c r="I100" i="27"/>
  <c r="I59" i="27"/>
  <c r="I82" i="27"/>
  <c r="I80" i="27"/>
  <c r="I81" i="27"/>
  <c r="I79" i="27"/>
  <c r="I61" i="27"/>
  <c r="I62" i="27"/>
  <c r="I60" i="27"/>
  <c r="I58" i="27"/>
  <c r="I40" i="27"/>
  <c r="I39" i="27"/>
  <c r="I37" i="27"/>
  <c r="U143" i="7"/>
  <c r="U142" i="7"/>
  <c r="U141" i="7"/>
  <c r="U140" i="7"/>
  <c r="U119" i="7"/>
  <c r="U118" i="7"/>
  <c r="U117" i="7"/>
  <c r="U116" i="7"/>
  <c r="U95" i="7"/>
  <c r="U92" i="7"/>
  <c r="U71" i="7"/>
  <c r="U70" i="7"/>
  <c r="U69" i="7"/>
  <c r="U68" i="7"/>
  <c r="H23" i="7"/>
  <c r="J23" i="7"/>
  <c r="J21" i="7"/>
  <c r="H21" i="7"/>
  <c r="P21" i="7"/>
  <c r="N20" i="7"/>
  <c r="O21" i="7"/>
  <c r="F21" i="7"/>
  <c r="J22" i="7"/>
  <c r="F20" i="7"/>
  <c r="N21" i="7"/>
  <c r="O23" i="7"/>
  <c r="O22" i="7"/>
  <c r="N23" i="7"/>
  <c r="P23" i="7"/>
  <c r="F23" i="7"/>
  <c r="F22" i="7"/>
  <c r="H22" i="7"/>
  <c r="J20" i="7"/>
  <c r="H20" i="7"/>
  <c r="P20" i="7"/>
  <c r="N22" i="7"/>
  <c r="P22" i="7"/>
  <c r="O20" i="7"/>
  <c r="AM163" i="6"/>
  <c r="U163" i="6"/>
  <c r="G163" i="6"/>
  <c r="J163" i="6" s="1"/>
  <c r="AM162" i="6"/>
  <c r="U162" i="6"/>
  <c r="G162" i="6"/>
  <c r="J162" i="6" s="1"/>
  <c r="M162" i="6" s="1"/>
  <c r="AM161" i="6"/>
  <c r="U161" i="6"/>
  <c r="G161" i="6"/>
  <c r="J161" i="6" s="1"/>
  <c r="AM160" i="6"/>
  <c r="U160" i="6"/>
  <c r="G160" i="6"/>
  <c r="H160" i="6" s="1"/>
  <c r="AM159" i="6"/>
  <c r="U159" i="6"/>
  <c r="G159" i="6"/>
  <c r="J159" i="6" s="1"/>
  <c r="AM158" i="6"/>
  <c r="U158" i="6"/>
  <c r="G158" i="6"/>
  <c r="J158" i="6" s="1"/>
  <c r="M158" i="6" s="1"/>
  <c r="AM157" i="6"/>
  <c r="U157" i="6"/>
  <c r="G157" i="6"/>
  <c r="J157" i="6" s="1"/>
  <c r="AM156" i="6"/>
  <c r="U156" i="6"/>
  <c r="G156" i="6"/>
  <c r="J156" i="6" s="1"/>
  <c r="M156" i="6" s="1"/>
  <c r="AM155" i="6"/>
  <c r="U155" i="6"/>
  <c r="G155" i="6"/>
  <c r="J155" i="6" s="1"/>
  <c r="U140" i="6"/>
  <c r="G140" i="6"/>
  <c r="J140" i="6" s="1"/>
  <c r="AM139" i="6"/>
  <c r="U139" i="6"/>
  <c r="G139" i="6"/>
  <c r="J139" i="6" s="1"/>
  <c r="AM138" i="6"/>
  <c r="U138" i="6"/>
  <c r="G138" i="6"/>
  <c r="H138" i="6" s="1"/>
  <c r="AM137" i="6"/>
  <c r="U137" i="6"/>
  <c r="G137" i="6"/>
  <c r="H137" i="6" s="1"/>
  <c r="AM136" i="6"/>
  <c r="U136" i="6"/>
  <c r="G136" i="6"/>
  <c r="H136" i="6" s="1"/>
  <c r="AM135" i="6"/>
  <c r="U135" i="6"/>
  <c r="G135" i="6"/>
  <c r="J135" i="6" s="1"/>
  <c r="AM134" i="6"/>
  <c r="U134" i="6"/>
  <c r="G134" i="6"/>
  <c r="J134" i="6" s="1"/>
  <c r="AM133" i="6"/>
  <c r="U133" i="6"/>
  <c r="G133" i="6"/>
  <c r="J133" i="6" s="1"/>
  <c r="AM132" i="6"/>
  <c r="U132" i="6"/>
  <c r="G132" i="6"/>
  <c r="H132" i="6" s="1"/>
  <c r="AM117" i="6"/>
  <c r="U117" i="6"/>
  <c r="G117" i="6"/>
  <c r="J117" i="6" s="1"/>
  <c r="AM116" i="6"/>
  <c r="U116" i="6"/>
  <c r="G116" i="6"/>
  <c r="J116" i="6" s="1"/>
  <c r="AM115" i="6"/>
  <c r="U115" i="6"/>
  <c r="G115" i="6"/>
  <c r="H115" i="6" s="1"/>
  <c r="AM114" i="6"/>
  <c r="U114" i="6"/>
  <c r="G114" i="6"/>
  <c r="H114" i="6" s="1"/>
  <c r="AM113" i="6"/>
  <c r="U113" i="6"/>
  <c r="G113" i="6"/>
  <c r="J113" i="6" s="1"/>
  <c r="AM112" i="6"/>
  <c r="U112" i="6"/>
  <c r="G112" i="6"/>
  <c r="H112" i="6" s="1"/>
  <c r="AM111" i="6"/>
  <c r="U111" i="6"/>
  <c r="G111" i="6"/>
  <c r="J111" i="6" s="1"/>
  <c r="AM110" i="6"/>
  <c r="U110" i="6"/>
  <c r="G110" i="6"/>
  <c r="J110" i="6" s="1"/>
  <c r="U109" i="6"/>
  <c r="G109" i="6"/>
  <c r="H109" i="6" s="1"/>
  <c r="U94" i="6"/>
  <c r="G94" i="6"/>
  <c r="J94" i="6" s="1"/>
  <c r="AM93" i="6"/>
  <c r="U93" i="6"/>
  <c r="G93" i="6"/>
  <c r="J93" i="6" s="1"/>
  <c r="AM92" i="6"/>
  <c r="U92" i="6"/>
  <c r="G92" i="6"/>
  <c r="H92" i="6" s="1"/>
  <c r="AM91" i="6"/>
  <c r="U91" i="6"/>
  <c r="G91" i="6"/>
  <c r="H91" i="6" s="1"/>
  <c r="AM90" i="6"/>
  <c r="U90" i="6"/>
  <c r="G90" i="6"/>
  <c r="J90" i="6" s="1"/>
  <c r="AM89" i="6"/>
  <c r="U89" i="6"/>
  <c r="G89" i="6"/>
  <c r="H89" i="6" s="1"/>
  <c r="AM88" i="6"/>
  <c r="U88" i="6"/>
  <c r="G88" i="6"/>
  <c r="J88" i="6" s="1"/>
  <c r="AM87" i="6"/>
  <c r="U87" i="6"/>
  <c r="G87" i="6"/>
  <c r="J87" i="6" s="1"/>
  <c r="U86" i="6"/>
  <c r="G86" i="6"/>
  <c r="H86" i="6" s="1"/>
  <c r="U70" i="6"/>
  <c r="G70" i="6"/>
  <c r="J70" i="6" s="1"/>
  <c r="AM69" i="6"/>
  <c r="U69" i="6"/>
  <c r="G69" i="6"/>
  <c r="J69" i="6" s="1"/>
  <c r="AM68" i="6"/>
  <c r="U68" i="6"/>
  <c r="G68" i="6"/>
  <c r="H68" i="6" s="1"/>
  <c r="AM67" i="6"/>
  <c r="U67" i="6"/>
  <c r="G67" i="6"/>
  <c r="H67" i="6" s="1"/>
  <c r="AM66" i="6"/>
  <c r="U66" i="6"/>
  <c r="G66" i="6"/>
  <c r="H66" i="6" s="1"/>
  <c r="AM65" i="6"/>
  <c r="U65" i="6"/>
  <c r="G65" i="6"/>
  <c r="J65" i="6" s="1"/>
  <c r="AM64" i="6"/>
  <c r="U64" i="6"/>
  <c r="G64" i="6"/>
  <c r="J64" i="6" s="1"/>
  <c r="AM63" i="6"/>
  <c r="U63" i="6"/>
  <c r="G63" i="6"/>
  <c r="J63" i="6" s="1"/>
  <c r="U62" i="6"/>
  <c r="G62" i="6"/>
  <c r="H62" i="6" s="1"/>
  <c r="U46" i="6"/>
  <c r="G46" i="6"/>
  <c r="J46" i="6" s="1"/>
  <c r="AM45" i="6"/>
  <c r="U45" i="6"/>
  <c r="G45" i="6"/>
  <c r="J45" i="6" s="1"/>
  <c r="AM44" i="6"/>
  <c r="U44" i="6"/>
  <c r="G44" i="6"/>
  <c r="J44" i="6" s="1"/>
  <c r="AM43" i="6"/>
  <c r="U43" i="6"/>
  <c r="G43" i="6"/>
  <c r="J43" i="6" s="1"/>
  <c r="AM42" i="6"/>
  <c r="U42" i="6"/>
  <c r="G42" i="6"/>
  <c r="J42" i="6" s="1"/>
  <c r="L22" i="6"/>
  <c r="I22" i="6"/>
  <c r="F22" i="6"/>
  <c r="E22" i="6"/>
  <c r="D22" i="13" s="1"/>
  <c r="D22" i="6"/>
  <c r="L21" i="6"/>
  <c r="I21" i="6"/>
  <c r="F21" i="6"/>
  <c r="E21" i="6"/>
  <c r="D21" i="13" s="1"/>
  <c r="D21" i="6"/>
  <c r="L20" i="6"/>
  <c r="I20" i="6"/>
  <c r="F20" i="6"/>
  <c r="E20" i="6"/>
  <c r="D20" i="13" s="1"/>
  <c r="D20" i="6"/>
  <c r="L18" i="6"/>
  <c r="I18" i="6"/>
  <c r="F18" i="6"/>
  <c r="E18" i="6"/>
  <c r="D18" i="13" s="1"/>
  <c r="D18" i="6"/>
  <c r="X311" i="22"/>
  <c r="W311" i="22"/>
  <c r="V311" i="22"/>
  <c r="U311" i="22"/>
  <c r="T311" i="22"/>
  <c r="S311" i="22"/>
  <c r="R311" i="22"/>
  <c r="Q311" i="22"/>
  <c r="P311" i="22"/>
  <c r="O311" i="22"/>
  <c r="N311" i="22"/>
  <c r="M311" i="22"/>
  <c r="L311" i="22"/>
  <c r="K311" i="22"/>
  <c r="J311" i="22"/>
  <c r="I311" i="22"/>
  <c r="AA275" i="22"/>
  <c r="Z275" i="22"/>
  <c r="Y275" i="22"/>
  <c r="X275" i="22"/>
  <c r="W275" i="22"/>
  <c r="V275" i="22"/>
  <c r="U275" i="22"/>
  <c r="T275" i="22"/>
  <c r="S275" i="22"/>
  <c r="R275" i="22"/>
  <c r="Q275" i="22"/>
  <c r="P275" i="22"/>
  <c r="O275" i="22"/>
  <c r="N275" i="22"/>
  <c r="M275" i="22"/>
  <c r="L275" i="22"/>
  <c r="K275" i="22"/>
  <c r="J275" i="22"/>
  <c r="I275" i="22"/>
  <c r="AA239" i="22"/>
  <c r="Z239" i="22"/>
  <c r="Y239" i="22"/>
  <c r="X239" i="22"/>
  <c r="W239" i="22"/>
  <c r="V239" i="22"/>
  <c r="U239" i="22"/>
  <c r="T239" i="22"/>
  <c r="S239" i="22"/>
  <c r="R239" i="22"/>
  <c r="Q239" i="22"/>
  <c r="P239" i="22"/>
  <c r="O239" i="22"/>
  <c r="N239" i="22"/>
  <c r="M239" i="22"/>
  <c r="L239" i="22"/>
  <c r="K239" i="22"/>
  <c r="J239" i="22"/>
  <c r="I239" i="22"/>
  <c r="AA203" i="22"/>
  <c r="Z203" i="22"/>
  <c r="Y203" i="22"/>
  <c r="X203" i="22"/>
  <c r="W203" i="22"/>
  <c r="V203" i="22"/>
  <c r="U203" i="22"/>
  <c r="T203" i="22"/>
  <c r="S203" i="22"/>
  <c r="R203" i="22"/>
  <c r="Q203" i="22"/>
  <c r="P203" i="22"/>
  <c r="O203" i="22"/>
  <c r="N203" i="22"/>
  <c r="M203" i="22"/>
  <c r="L203" i="22"/>
  <c r="K203" i="22"/>
  <c r="J203" i="22"/>
  <c r="I203" i="22"/>
  <c r="AA167" i="22"/>
  <c r="Z167" i="22"/>
  <c r="Y167" i="22"/>
  <c r="X167" i="22"/>
  <c r="W167" i="22"/>
  <c r="V167" i="22"/>
  <c r="U167" i="22"/>
  <c r="T167" i="22"/>
  <c r="S167" i="22"/>
  <c r="R167" i="22"/>
  <c r="Q167" i="22"/>
  <c r="P167" i="22"/>
  <c r="O167" i="22"/>
  <c r="N167" i="22"/>
  <c r="M167" i="22"/>
  <c r="L167" i="22"/>
  <c r="K167" i="22"/>
  <c r="J167" i="22"/>
  <c r="I167" i="22"/>
  <c r="AA131" i="22"/>
  <c r="Z131" i="22"/>
  <c r="Y131" i="22"/>
  <c r="X131" i="22"/>
  <c r="W131" i="22"/>
  <c r="V131" i="22"/>
  <c r="U131" i="22"/>
  <c r="T131" i="22"/>
  <c r="S131" i="22"/>
  <c r="R131" i="22"/>
  <c r="Q131" i="22"/>
  <c r="P131" i="22"/>
  <c r="O131" i="22"/>
  <c r="N131" i="22"/>
  <c r="M131" i="22"/>
  <c r="L131" i="22"/>
  <c r="K131" i="22"/>
  <c r="J131" i="22"/>
  <c r="I131" i="22"/>
  <c r="AA95" i="22"/>
  <c r="Z95" i="22"/>
  <c r="Y95" i="22"/>
  <c r="X95" i="22"/>
  <c r="W95" i="22"/>
  <c r="V95" i="22"/>
  <c r="U95" i="22"/>
  <c r="T95" i="22"/>
  <c r="S95" i="22"/>
  <c r="R95" i="22"/>
  <c r="Q95" i="22"/>
  <c r="P95" i="22"/>
  <c r="O95" i="22"/>
  <c r="N95" i="22"/>
  <c r="M95" i="22"/>
  <c r="L95" i="22"/>
  <c r="K95" i="22"/>
  <c r="J95" i="22"/>
  <c r="I95" i="22"/>
  <c r="AA59" i="22"/>
  <c r="Z59" i="22"/>
  <c r="Y59" i="22"/>
  <c r="X59" i="22"/>
  <c r="W59" i="22"/>
  <c r="V59" i="22"/>
  <c r="U59" i="22"/>
  <c r="T59" i="22"/>
  <c r="S59" i="22"/>
  <c r="R59" i="22"/>
  <c r="Q59" i="22"/>
  <c r="P59" i="22"/>
  <c r="O59" i="22"/>
  <c r="N59" i="22"/>
  <c r="M59" i="22"/>
  <c r="L59" i="22"/>
  <c r="K59" i="22"/>
  <c r="J59" i="22"/>
  <c r="I59" i="22"/>
  <c r="W411" i="22" l="1"/>
  <c r="W412" i="22" s="1"/>
  <c r="W414" i="22" s="1"/>
  <c r="X410" i="22"/>
  <c r="S361" i="22"/>
  <c r="S363" i="22" s="1"/>
  <c r="S353" i="22"/>
  <c r="V415" i="22"/>
  <c r="V423" i="22"/>
  <c r="V425" i="22" s="1"/>
  <c r="U348" i="22"/>
  <c r="T349" i="22"/>
  <c r="T350" i="22" s="1"/>
  <c r="T352" i="22" s="1"/>
  <c r="T442" i="22"/>
  <c r="T443" i="22" s="1"/>
  <c r="T445" i="22" s="1"/>
  <c r="U441" i="22"/>
  <c r="S454" i="22"/>
  <c r="S456" i="22" s="1"/>
  <c r="S446" i="22"/>
  <c r="V384" i="22"/>
  <c r="V392" i="22"/>
  <c r="V394" i="22" s="1"/>
  <c r="X379" i="22"/>
  <c r="W380" i="22"/>
  <c r="W381" i="22" s="1"/>
  <c r="W383" i="22" s="1"/>
  <c r="U472" i="22"/>
  <c r="T473" i="22"/>
  <c r="T474" i="22" s="1"/>
  <c r="T476" i="22" s="1"/>
  <c r="S477" i="22"/>
  <c r="S485" i="22"/>
  <c r="S487" i="22" s="1"/>
  <c r="H135" i="6"/>
  <c r="J89" i="6"/>
  <c r="M89" i="6" s="1"/>
  <c r="N89" i="6" s="1"/>
  <c r="H158" i="6"/>
  <c r="H93" i="6"/>
  <c r="J115" i="6"/>
  <c r="K115" i="6" s="1"/>
  <c r="H133" i="6"/>
  <c r="J86" i="6"/>
  <c r="K86" i="6" s="1"/>
  <c r="J92" i="6"/>
  <c r="K92" i="6" s="1"/>
  <c r="J114" i="6"/>
  <c r="K114" i="6" s="1"/>
  <c r="H156" i="6"/>
  <c r="F16" i="18"/>
  <c r="D200" i="22"/>
  <c r="D221" i="22" s="1"/>
  <c r="E236" i="22"/>
  <c r="E257" i="22" s="1"/>
  <c r="H164" i="22"/>
  <c r="H167" i="22" s="1"/>
  <c r="D272" i="22"/>
  <c r="E275" i="22"/>
  <c r="H236" i="22"/>
  <c r="H239" i="22" s="1"/>
  <c r="D18" i="18"/>
  <c r="I18" i="18" s="1"/>
  <c r="G16" i="18"/>
  <c r="E19" i="18"/>
  <c r="F236" i="22"/>
  <c r="F239" i="22" s="1"/>
  <c r="I19" i="27"/>
  <c r="G272" i="22"/>
  <c r="G19" i="18"/>
  <c r="I18" i="27"/>
  <c r="G18" i="18"/>
  <c r="H19" i="18"/>
  <c r="I19" i="18" s="1"/>
  <c r="H272" i="22"/>
  <c r="F272" i="22"/>
  <c r="F19" i="18"/>
  <c r="G167" i="22"/>
  <c r="G239" i="22"/>
  <c r="F185" i="22"/>
  <c r="D164" i="22"/>
  <c r="D16" i="18"/>
  <c r="I16" i="18" s="1"/>
  <c r="E164" i="22"/>
  <c r="E16" i="18"/>
  <c r="D239" i="22"/>
  <c r="E200" i="22"/>
  <c r="E17" i="18"/>
  <c r="I16" i="27"/>
  <c r="J160" i="6"/>
  <c r="H159" i="6"/>
  <c r="H162" i="6"/>
  <c r="K133" i="6"/>
  <c r="M133" i="6"/>
  <c r="J136" i="6"/>
  <c r="J138" i="6"/>
  <c r="J137" i="6"/>
  <c r="J132" i="6"/>
  <c r="H139" i="6"/>
  <c r="K110" i="6"/>
  <c r="M110" i="6"/>
  <c r="K116" i="6"/>
  <c r="M116" i="6"/>
  <c r="J109" i="6"/>
  <c r="J112" i="6"/>
  <c r="M112" i="6" s="1"/>
  <c r="N112" i="6" s="1"/>
  <c r="M115" i="6"/>
  <c r="N115" i="6" s="1"/>
  <c r="H110" i="6"/>
  <c r="H116" i="6"/>
  <c r="H90" i="6"/>
  <c r="H87" i="6"/>
  <c r="J91" i="6"/>
  <c r="H63" i="6"/>
  <c r="J67" i="6"/>
  <c r="K67" i="6" s="1"/>
  <c r="H69" i="6"/>
  <c r="J68" i="6"/>
  <c r="J62" i="6"/>
  <c r="K155" i="6"/>
  <c r="M155" i="6"/>
  <c r="S158" i="6"/>
  <c r="N158" i="6"/>
  <c r="K161" i="6"/>
  <c r="M161" i="6"/>
  <c r="K159" i="6"/>
  <c r="M159" i="6"/>
  <c r="N156" i="6"/>
  <c r="S156" i="6"/>
  <c r="N162" i="6"/>
  <c r="S162" i="6"/>
  <c r="M157" i="6"/>
  <c r="K157" i="6"/>
  <c r="M163" i="6"/>
  <c r="K163" i="6"/>
  <c r="H157" i="6"/>
  <c r="K158" i="6"/>
  <c r="H163" i="6"/>
  <c r="H171" i="6"/>
  <c r="H155" i="6"/>
  <c r="K156" i="6"/>
  <c r="H161" i="6"/>
  <c r="K162" i="6"/>
  <c r="M134" i="6"/>
  <c r="K134" i="6"/>
  <c r="M135" i="6"/>
  <c r="K135" i="6"/>
  <c r="M139" i="6"/>
  <c r="K139" i="6"/>
  <c r="M140" i="6"/>
  <c r="K140" i="6"/>
  <c r="H134" i="6"/>
  <c r="H140" i="6"/>
  <c r="H148" i="6"/>
  <c r="M113" i="6"/>
  <c r="K113" i="6"/>
  <c r="M111" i="6"/>
  <c r="K111" i="6"/>
  <c r="M117" i="6"/>
  <c r="K117" i="6"/>
  <c r="H113" i="6"/>
  <c r="H111" i="6"/>
  <c r="H117" i="6"/>
  <c r="H125" i="6"/>
  <c r="M87" i="6"/>
  <c r="K87" i="6"/>
  <c r="M93" i="6"/>
  <c r="K93" i="6"/>
  <c r="M88" i="6"/>
  <c r="K88" i="6"/>
  <c r="M90" i="6"/>
  <c r="K90" i="6"/>
  <c r="M94" i="6"/>
  <c r="K94" i="6"/>
  <c r="S89" i="6"/>
  <c r="H88" i="6"/>
  <c r="H94" i="6"/>
  <c r="H102" i="6"/>
  <c r="M65" i="6"/>
  <c r="K65" i="6"/>
  <c r="M69" i="6"/>
  <c r="K69" i="6"/>
  <c r="M63" i="6"/>
  <c r="K63" i="6"/>
  <c r="M64" i="6"/>
  <c r="K64" i="6"/>
  <c r="M70" i="6"/>
  <c r="K70" i="6"/>
  <c r="J66" i="6"/>
  <c r="H65" i="6"/>
  <c r="H64" i="6"/>
  <c r="H70" i="6"/>
  <c r="H78" i="6"/>
  <c r="M46" i="6"/>
  <c r="K46" i="6"/>
  <c r="H46" i="6"/>
  <c r="M45" i="6"/>
  <c r="K45" i="6"/>
  <c r="H45" i="6"/>
  <c r="M44" i="6"/>
  <c r="K44" i="6"/>
  <c r="H44" i="6"/>
  <c r="G18" i="6"/>
  <c r="M43" i="6"/>
  <c r="K43" i="6"/>
  <c r="H43" i="6"/>
  <c r="M42" i="6"/>
  <c r="K42" i="6"/>
  <c r="H42" i="6"/>
  <c r="AM21" i="6"/>
  <c r="U22" i="6"/>
  <c r="G22" i="6"/>
  <c r="G21" i="6"/>
  <c r="U20" i="6"/>
  <c r="G20" i="6"/>
  <c r="U21" i="6"/>
  <c r="AM18" i="6"/>
  <c r="AM20" i="6"/>
  <c r="U18" i="6"/>
  <c r="AR161" i="29"/>
  <c r="AM161" i="29"/>
  <c r="AH161" i="29"/>
  <c r="AC161" i="29"/>
  <c r="X161" i="29"/>
  <c r="U161" i="29"/>
  <c r="G161" i="29"/>
  <c r="J161" i="29" s="1"/>
  <c r="M161" i="29" s="1"/>
  <c r="AR160" i="29"/>
  <c r="AM160" i="29"/>
  <c r="AH160" i="29"/>
  <c r="AC160" i="29"/>
  <c r="X160" i="29"/>
  <c r="U160" i="29"/>
  <c r="G160" i="29"/>
  <c r="H160" i="29" s="1"/>
  <c r="AR159" i="29"/>
  <c r="AM159" i="29"/>
  <c r="AH159" i="29"/>
  <c r="AC159" i="29"/>
  <c r="X159" i="29"/>
  <c r="U159" i="29"/>
  <c r="G159" i="29"/>
  <c r="J159" i="29" s="1"/>
  <c r="AR158" i="29"/>
  <c r="AM158" i="29"/>
  <c r="AH158" i="29"/>
  <c r="AC158" i="29"/>
  <c r="X158" i="29"/>
  <c r="U158" i="29"/>
  <c r="G158" i="29"/>
  <c r="J158" i="29" s="1"/>
  <c r="M158" i="29" s="1"/>
  <c r="AR157" i="29"/>
  <c r="AM157" i="29"/>
  <c r="AH157" i="29"/>
  <c r="AC157" i="29"/>
  <c r="X157" i="29"/>
  <c r="U157" i="29"/>
  <c r="G157" i="29"/>
  <c r="H157" i="29" s="1"/>
  <c r="AR156" i="29"/>
  <c r="AM156" i="29"/>
  <c r="AH156" i="29"/>
  <c r="AC156" i="29"/>
  <c r="X156" i="29"/>
  <c r="U156" i="29"/>
  <c r="G156" i="29"/>
  <c r="H156" i="29" s="1"/>
  <c r="AR155" i="29"/>
  <c r="AM155" i="29"/>
  <c r="AH155" i="29"/>
  <c r="AC155" i="29"/>
  <c r="X155" i="29"/>
  <c r="U155" i="29"/>
  <c r="G155" i="29"/>
  <c r="J155" i="29" s="1"/>
  <c r="AR154" i="29"/>
  <c r="AM154" i="29"/>
  <c r="AH154" i="29"/>
  <c r="AC154" i="29"/>
  <c r="X154" i="29"/>
  <c r="U154" i="29"/>
  <c r="G154" i="29"/>
  <c r="H154" i="29" s="1"/>
  <c r="AR153" i="29"/>
  <c r="AM153" i="29"/>
  <c r="AH153" i="29"/>
  <c r="AC153" i="29"/>
  <c r="X153" i="29"/>
  <c r="U153" i="29"/>
  <c r="G153" i="29"/>
  <c r="J153" i="29" s="1"/>
  <c r="AR138" i="29"/>
  <c r="AM138" i="29"/>
  <c r="AH138" i="29"/>
  <c r="AC138" i="29"/>
  <c r="X138" i="29"/>
  <c r="U138" i="29"/>
  <c r="G138" i="29"/>
  <c r="J138" i="29" s="1"/>
  <c r="AR137" i="29"/>
  <c r="AM137" i="29"/>
  <c r="AH137" i="29"/>
  <c r="AC137" i="29"/>
  <c r="X137" i="29"/>
  <c r="U137" i="29"/>
  <c r="G137" i="29"/>
  <c r="J137" i="29" s="1"/>
  <c r="M137" i="29" s="1"/>
  <c r="AR136" i="29"/>
  <c r="AM136" i="29"/>
  <c r="AH136" i="29"/>
  <c r="AC136" i="29"/>
  <c r="X136" i="29"/>
  <c r="U136" i="29"/>
  <c r="G136" i="29"/>
  <c r="J136" i="29" s="1"/>
  <c r="AR135" i="29"/>
  <c r="AM135" i="29"/>
  <c r="AH135" i="29"/>
  <c r="AC135" i="29"/>
  <c r="X135" i="29"/>
  <c r="U135" i="29"/>
  <c r="G135" i="29"/>
  <c r="J135" i="29" s="1"/>
  <c r="M135" i="29" s="1"/>
  <c r="AR134" i="29"/>
  <c r="AM134" i="29"/>
  <c r="AH134" i="29"/>
  <c r="AC134" i="29"/>
  <c r="X134" i="29"/>
  <c r="U134" i="29"/>
  <c r="G134" i="29"/>
  <c r="J134" i="29" s="1"/>
  <c r="AR133" i="29"/>
  <c r="AM133" i="29"/>
  <c r="AH133" i="29"/>
  <c r="AC133" i="29"/>
  <c r="X133" i="29"/>
  <c r="U133" i="29"/>
  <c r="G133" i="29"/>
  <c r="J133" i="29" s="1"/>
  <c r="M133" i="29" s="1"/>
  <c r="AR132" i="29"/>
  <c r="AM132" i="29"/>
  <c r="AH132" i="29"/>
  <c r="AC132" i="29"/>
  <c r="X132" i="29"/>
  <c r="U132" i="29"/>
  <c r="G132" i="29"/>
  <c r="J132" i="29" s="1"/>
  <c r="AR131" i="29"/>
  <c r="AM131" i="29"/>
  <c r="AH131" i="29"/>
  <c r="AC131" i="29"/>
  <c r="X131" i="29"/>
  <c r="U131" i="29"/>
  <c r="G131" i="29"/>
  <c r="J131" i="29" s="1"/>
  <c r="M131" i="29" s="1"/>
  <c r="AR130" i="29"/>
  <c r="AM130" i="29"/>
  <c r="AH130" i="29"/>
  <c r="AC130" i="29"/>
  <c r="X130" i="29"/>
  <c r="U130" i="29"/>
  <c r="G130" i="29"/>
  <c r="AR115" i="29"/>
  <c r="AM115" i="29"/>
  <c r="AH115" i="29"/>
  <c r="AC115" i="29"/>
  <c r="X115" i="29"/>
  <c r="U115" i="29"/>
  <c r="G115" i="29"/>
  <c r="J115" i="29" s="1"/>
  <c r="AR114" i="29"/>
  <c r="AM114" i="29"/>
  <c r="AH114" i="29"/>
  <c r="AC114" i="29"/>
  <c r="X114" i="29"/>
  <c r="U114" i="29"/>
  <c r="G114" i="29"/>
  <c r="J114" i="29" s="1"/>
  <c r="AR113" i="29"/>
  <c r="AM113" i="29"/>
  <c r="AH113" i="29"/>
  <c r="AC113" i="29"/>
  <c r="X113" i="29"/>
  <c r="U113" i="29"/>
  <c r="G113" i="29"/>
  <c r="J113" i="29" s="1"/>
  <c r="AR112" i="29"/>
  <c r="AM112" i="29"/>
  <c r="AH112" i="29"/>
  <c r="AC112" i="29"/>
  <c r="X112" i="29"/>
  <c r="U112" i="29"/>
  <c r="G112" i="29"/>
  <c r="J112" i="29" s="1"/>
  <c r="AR111" i="29"/>
  <c r="AM111" i="29"/>
  <c r="AH111" i="29"/>
  <c r="AC111" i="29"/>
  <c r="X111" i="29"/>
  <c r="U111" i="29"/>
  <c r="G111" i="29"/>
  <c r="J111" i="29" s="1"/>
  <c r="AR110" i="29"/>
  <c r="AM110" i="29"/>
  <c r="AH110" i="29"/>
  <c r="AC110" i="29"/>
  <c r="X110" i="29"/>
  <c r="U110" i="29"/>
  <c r="G110" i="29"/>
  <c r="J110" i="29" s="1"/>
  <c r="AR109" i="29"/>
  <c r="AM109" i="29"/>
  <c r="AH109" i="29"/>
  <c r="AC109" i="29"/>
  <c r="X109" i="29"/>
  <c r="U109" i="29"/>
  <c r="G109" i="29"/>
  <c r="J109" i="29" s="1"/>
  <c r="AR108" i="29"/>
  <c r="AM108" i="29"/>
  <c r="AH108" i="29"/>
  <c r="AC108" i="29"/>
  <c r="X108" i="29"/>
  <c r="U108" i="29"/>
  <c r="G108" i="29"/>
  <c r="J108" i="29" s="1"/>
  <c r="M108" i="29" s="1"/>
  <c r="AR107" i="29"/>
  <c r="AM107" i="29"/>
  <c r="AH107" i="29"/>
  <c r="AC107" i="29"/>
  <c r="U107" i="29"/>
  <c r="G107" i="29"/>
  <c r="AR92" i="29"/>
  <c r="AM92" i="29"/>
  <c r="AH92" i="29"/>
  <c r="AC92" i="29"/>
  <c r="U92" i="29"/>
  <c r="G92" i="29"/>
  <c r="H92" i="29" s="1"/>
  <c r="AR91" i="29"/>
  <c r="AM91" i="29"/>
  <c r="AH91" i="29"/>
  <c r="AC91" i="29"/>
  <c r="X91" i="29"/>
  <c r="U91" i="29"/>
  <c r="G91" i="29"/>
  <c r="H91" i="29" s="1"/>
  <c r="AR90" i="29"/>
  <c r="AM90" i="29"/>
  <c r="AH90" i="29"/>
  <c r="AC90" i="29"/>
  <c r="X90" i="29"/>
  <c r="U90" i="29"/>
  <c r="G90" i="29"/>
  <c r="J90" i="29" s="1"/>
  <c r="AR89" i="29"/>
  <c r="AM89" i="29"/>
  <c r="AH89" i="29"/>
  <c r="AC89" i="29"/>
  <c r="X89" i="29"/>
  <c r="U89" i="29"/>
  <c r="G89" i="29"/>
  <c r="J89" i="29" s="1"/>
  <c r="M89" i="29" s="1"/>
  <c r="AR88" i="29"/>
  <c r="AM88" i="29"/>
  <c r="AH88" i="29"/>
  <c r="AC88" i="29"/>
  <c r="X88" i="29"/>
  <c r="U88" i="29"/>
  <c r="G88" i="29"/>
  <c r="J88" i="29" s="1"/>
  <c r="AR87" i="29"/>
  <c r="AM87" i="29"/>
  <c r="AH87" i="29"/>
  <c r="AC87" i="29"/>
  <c r="X87" i="29"/>
  <c r="U87" i="29"/>
  <c r="G87" i="29"/>
  <c r="H87" i="29" s="1"/>
  <c r="AR86" i="29"/>
  <c r="AM86" i="29"/>
  <c r="AH86" i="29"/>
  <c r="AC86" i="29"/>
  <c r="X86" i="29"/>
  <c r="U86" i="29"/>
  <c r="G86" i="29"/>
  <c r="J86" i="29" s="1"/>
  <c r="AR85" i="29"/>
  <c r="AM85" i="29"/>
  <c r="AH85" i="29"/>
  <c r="AC85" i="29"/>
  <c r="X85" i="29"/>
  <c r="U85" i="29"/>
  <c r="G85" i="29"/>
  <c r="H85" i="29" s="1"/>
  <c r="AR84" i="29"/>
  <c r="AM84" i="29"/>
  <c r="AH84" i="29"/>
  <c r="AC84" i="29"/>
  <c r="U84" i="29"/>
  <c r="G84" i="29"/>
  <c r="J84" i="29" s="1"/>
  <c r="AR69" i="29"/>
  <c r="AM69" i="29"/>
  <c r="AH69" i="29"/>
  <c r="AC69" i="29"/>
  <c r="U69" i="29"/>
  <c r="G69" i="29"/>
  <c r="J69" i="29" s="1"/>
  <c r="AR68" i="29"/>
  <c r="AM68" i="29"/>
  <c r="AH68" i="29"/>
  <c r="AC68" i="29"/>
  <c r="X68" i="29"/>
  <c r="U68" i="29"/>
  <c r="G68" i="29"/>
  <c r="H68" i="29" s="1"/>
  <c r="AR67" i="29"/>
  <c r="AM67" i="29"/>
  <c r="AH67" i="29"/>
  <c r="AC67" i="29"/>
  <c r="X67" i="29"/>
  <c r="U67" i="29"/>
  <c r="G67" i="29"/>
  <c r="J67" i="29" s="1"/>
  <c r="AR66" i="29"/>
  <c r="AM66" i="29"/>
  <c r="AH66" i="29"/>
  <c r="AC66" i="29"/>
  <c r="X66" i="29"/>
  <c r="U66" i="29"/>
  <c r="G66" i="29"/>
  <c r="J66" i="29" s="1"/>
  <c r="AR65" i="29"/>
  <c r="AM65" i="29"/>
  <c r="AH65" i="29"/>
  <c r="AC65" i="29"/>
  <c r="X65" i="29"/>
  <c r="U65" i="29"/>
  <c r="G65" i="29"/>
  <c r="J65" i="29" s="1"/>
  <c r="AR64" i="29"/>
  <c r="AM64" i="29"/>
  <c r="AH64" i="29"/>
  <c r="AC64" i="29"/>
  <c r="X64" i="29"/>
  <c r="U64" i="29"/>
  <c r="G64" i="29"/>
  <c r="H64" i="29" s="1"/>
  <c r="AR63" i="29"/>
  <c r="AM63" i="29"/>
  <c r="AH63" i="29"/>
  <c r="AC63" i="29"/>
  <c r="X63" i="29"/>
  <c r="U63" i="29"/>
  <c r="G63" i="29"/>
  <c r="J63" i="29" s="1"/>
  <c r="AR62" i="29"/>
  <c r="AM62" i="29"/>
  <c r="AH62" i="29"/>
  <c r="AC62" i="29"/>
  <c r="X62" i="29"/>
  <c r="U62" i="29"/>
  <c r="G62" i="29"/>
  <c r="J62" i="29" s="1"/>
  <c r="AR61" i="29"/>
  <c r="AM61" i="29"/>
  <c r="AH61" i="29"/>
  <c r="AC61" i="29"/>
  <c r="U61" i="29"/>
  <c r="G61" i="29"/>
  <c r="J61" i="29" s="1"/>
  <c r="AR44" i="29"/>
  <c r="AM44" i="29"/>
  <c r="AH44" i="29"/>
  <c r="AC44" i="29"/>
  <c r="X44" i="29"/>
  <c r="U44" i="29"/>
  <c r="G44" i="29"/>
  <c r="J44" i="29" s="1"/>
  <c r="AR45" i="29"/>
  <c r="AM45" i="29"/>
  <c r="AH45" i="29"/>
  <c r="AC45" i="29"/>
  <c r="X45" i="29"/>
  <c r="U45" i="29"/>
  <c r="G45" i="29"/>
  <c r="J45" i="29" s="1"/>
  <c r="M45" i="29" s="1"/>
  <c r="AR39" i="29"/>
  <c r="AR40" i="29"/>
  <c r="AR41" i="29"/>
  <c r="AR42" i="29"/>
  <c r="AR43" i="29"/>
  <c r="AR46" i="29"/>
  <c r="AM39" i="29"/>
  <c r="AM40" i="29"/>
  <c r="AM41" i="29"/>
  <c r="AM42" i="29"/>
  <c r="AM43" i="29"/>
  <c r="AM46" i="29"/>
  <c r="AH39" i="29"/>
  <c r="AH40" i="29"/>
  <c r="AH41" i="29"/>
  <c r="AH42" i="29"/>
  <c r="AH43" i="29"/>
  <c r="AH46" i="29"/>
  <c r="AC39" i="29"/>
  <c r="AC40" i="29"/>
  <c r="AC41" i="29"/>
  <c r="AC42" i="29"/>
  <c r="AC43" i="29"/>
  <c r="AC46" i="29"/>
  <c r="X39" i="29"/>
  <c r="X40" i="29"/>
  <c r="X41" i="29"/>
  <c r="X42" i="29"/>
  <c r="X43" i="29"/>
  <c r="U39" i="29"/>
  <c r="U40" i="29"/>
  <c r="U41" i="29"/>
  <c r="U42" i="29"/>
  <c r="U43" i="29"/>
  <c r="U46" i="29"/>
  <c r="G39" i="29"/>
  <c r="J39" i="29" s="1"/>
  <c r="G40" i="29"/>
  <c r="J40" i="29" s="1"/>
  <c r="G41" i="29"/>
  <c r="J41" i="29" s="1"/>
  <c r="G42" i="29"/>
  <c r="H42" i="29" s="1"/>
  <c r="G43" i="29"/>
  <c r="J43" i="29" s="1"/>
  <c r="G46" i="29"/>
  <c r="H46" i="29" s="1"/>
  <c r="Y379" i="22" l="1"/>
  <c r="X380" i="22"/>
  <c r="X381" i="22" s="1"/>
  <c r="X383" i="22" s="1"/>
  <c r="W384" i="22"/>
  <c r="W392" i="22"/>
  <c r="W394" i="22" s="1"/>
  <c r="X411" i="22"/>
  <c r="X412" i="22" s="1"/>
  <c r="X414" i="22" s="1"/>
  <c r="Y410" i="22"/>
  <c r="W415" i="22"/>
  <c r="W423" i="22"/>
  <c r="W425" i="22" s="1"/>
  <c r="U442" i="22"/>
  <c r="U443" i="22" s="1"/>
  <c r="U445" i="22" s="1"/>
  <c r="V441" i="22"/>
  <c r="T446" i="22"/>
  <c r="T454" i="22"/>
  <c r="T456" i="22" s="1"/>
  <c r="T485" i="22"/>
  <c r="T487" i="22" s="1"/>
  <c r="T477" i="22"/>
  <c r="T361" i="22"/>
  <c r="T363" i="22" s="1"/>
  <c r="T353" i="22"/>
  <c r="V472" i="22"/>
  <c r="U473" i="22"/>
  <c r="U474" i="22" s="1"/>
  <c r="U476" i="22" s="1"/>
  <c r="V348" i="22"/>
  <c r="U349" i="22"/>
  <c r="U350" i="22" s="1"/>
  <c r="U352" i="22" s="1"/>
  <c r="D293" i="22"/>
  <c r="F257" i="22"/>
  <c r="H257" i="22"/>
  <c r="K89" i="6"/>
  <c r="M67" i="6"/>
  <c r="S67" i="6" s="1"/>
  <c r="K112" i="6"/>
  <c r="M114" i="6"/>
  <c r="N114" i="6" s="1"/>
  <c r="J20" i="6"/>
  <c r="G20" i="13" s="1"/>
  <c r="E20" i="13"/>
  <c r="F20" i="13" s="1"/>
  <c r="H18" i="6"/>
  <c r="E18" i="13"/>
  <c r="F18" i="13" s="1"/>
  <c r="J21" i="6"/>
  <c r="G21" i="13" s="1"/>
  <c r="E21" i="13"/>
  <c r="F21" i="13" s="1"/>
  <c r="K102" i="6"/>
  <c r="K125" i="6"/>
  <c r="M92" i="6"/>
  <c r="S92" i="6" s="1"/>
  <c r="J22" i="6"/>
  <c r="G22" i="13" s="1"/>
  <c r="E22" i="13"/>
  <c r="F22" i="13" s="1"/>
  <c r="K78" i="6"/>
  <c r="S112" i="6"/>
  <c r="T112" i="6" s="1"/>
  <c r="M86" i="6"/>
  <c r="K148" i="6"/>
  <c r="E239" i="22"/>
  <c r="D203" i="22"/>
  <c r="H185" i="22"/>
  <c r="D275" i="22"/>
  <c r="G293" i="22"/>
  <c r="G275" i="22"/>
  <c r="H275" i="22"/>
  <c r="H293" i="22"/>
  <c r="F293" i="22"/>
  <c r="F275" i="22"/>
  <c r="Y311" i="22"/>
  <c r="AC17" i="29"/>
  <c r="AH19" i="29"/>
  <c r="AH15" i="29"/>
  <c r="X18" i="29"/>
  <c r="AC19" i="29"/>
  <c r="AC15" i="29"/>
  <c r="X19" i="29"/>
  <c r="AC16" i="29"/>
  <c r="AH22" i="29"/>
  <c r="X16" i="29"/>
  <c r="X20" i="29"/>
  <c r="X15" i="29"/>
  <c r="AR20" i="29"/>
  <c r="AR16" i="29"/>
  <c r="AH16" i="29"/>
  <c r="AR19" i="29"/>
  <c r="AR18" i="29"/>
  <c r="AM22" i="29"/>
  <c r="AR15" i="29"/>
  <c r="AR22" i="29"/>
  <c r="AM17" i="29"/>
  <c r="AM15" i="29"/>
  <c r="AM21" i="29"/>
  <c r="AH21" i="29"/>
  <c r="AH17" i="29"/>
  <c r="AM19" i="29"/>
  <c r="AH20" i="29"/>
  <c r="AM18" i="29"/>
  <c r="AH18" i="29"/>
  <c r="AC21" i="29"/>
  <c r="AC22" i="29"/>
  <c r="AM16" i="29"/>
  <c r="AM20" i="29"/>
  <c r="D185" i="22"/>
  <c r="D167" i="22"/>
  <c r="X17" i="29"/>
  <c r="AR17" i="29"/>
  <c r="AC20" i="29"/>
  <c r="AC18" i="29"/>
  <c r="X21" i="29"/>
  <c r="AR21" i="29"/>
  <c r="E221" i="22"/>
  <c r="E203" i="22"/>
  <c r="E167" i="22"/>
  <c r="E185" i="22"/>
  <c r="J154" i="29"/>
  <c r="M154" i="29" s="1"/>
  <c r="S154" i="29" s="1"/>
  <c r="J157" i="29"/>
  <c r="M157" i="29" s="1"/>
  <c r="S157" i="29" s="1"/>
  <c r="J156" i="29"/>
  <c r="M156" i="29" s="1"/>
  <c r="N156" i="29" s="1"/>
  <c r="U169" i="29"/>
  <c r="H169" i="29"/>
  <c r="J160" i="29"/>
  <c r="M160" i="29" s="1"/>
  <c r="S160" i="29" s="1"/>
  <c r="H161" i="29"/>
  <c r="AW161" i="29"/>
  <c r="AW138" i="29"/>
  <c r="AW112" i="29"/>
  <c r="H153" i="29"/>
  <c r="AW159" i="29"/>
  <c r="AW160" i="29"/>
  <c r="AW154" i="29"/>
  <c r="AW157" i="29"/>
  <c r="AW158" i="29"/>
  <c r="H158" i="29"/>
  <c r="AW132" i="29"/>
  <c r="AW155" i="29"/>
  <c r="AW156" i="29"/>
  <c r="M160" i="6"/>
  <c r="N171" i="6" s="1"/>
  <c r="K160" i="6"/>
  <c r="K132" i="6"/>
  <c r="M132" i="6"/>
  <c r="M137" i="6"/>
  <c r="K137" i="6"/>
  <c r="K138" i="6"/>
  <c r="M138" i="6"/>
  <c r="M136" i="6"/>
  <c r="K136" i="6"/>
  <c r="N133" i="6"/>
  <c r="S133" i="6"/>
  <c r="S115" i="6"/>
  <c r="Y115" i="6" s="1"/>
  <c r="X118" i="7" s="1"/>
  <c r="K109" i="6"/>
  <c r="M109" i="6"/>
  <c r="N116" i="6"/>
  <c r="S116" i="6"/>
  <c r="N110" i="6"/>
  <c r="S110" i="6"/>
  <c r="M91" i="6"/>
  <c r="K91" i="6"/>
  <c r="K62" i="6"/>
  <c r="M62" i="6"/>
  <c r="K68" i="6"/>
  <c r="M68" i="6"/>
  <c r="V156" i="6"/>
  <c r="T156" i="6"/>
  <c r="Y156" i="6"/>
  <c r="S159" i="6"/>
  <c r="N159" i="6"/>
  <c r="S161" i="6"/>
  <c r="N161" i="6"/>
  <c r="S163" i="6"/>
  <c r="N163" i="6"/>
  <c r="V158" i="6"/>
  <c r="T158" i="6"/>
  <c r="Y158" i="6"/>
  <c r="N155" i="6"/>
  <c r="S155" i="6"/>
  <c r="S157" i="6"/>
  <c r="N157" i="6"/>
  <c r="K171" i="6"/>
  <c r="V162" i="6"/>
  <c r="Y162" i="6"/>
  <c r="T162" i="6"/>
  <c r="N139" i="6"/>
  <c r="S139" i="6"/>
  <c r="S135" i="6"/>
  <c r="N135" i="6"/>
  <c r="S140" i="6"/>
  <c r="N140" i="6"/>
  <c r="S134" i="6"/>
  <c r="N134" i="6"/>
  <c r="V112" i="6"/>
  <c r="S117" i="6"/>
  <c r="N117" i="6"/>
  <c r="S111" i="6"/>
  <c r="N111" i="6"/>
  <c r="S114" i="6"/>
  <c r="S113" i="6"/>
  <c r="N113" i="6"/>
  <c r="S90" i="6"/>
  <c r="N90" i="6"/>
  <c r="S88" i="6"/>
  <c r="N88" i="6"/>
  <c r="N93" i="6"/>
  <c r="S93" i="6"/>
  <c r="V89" i="6"/>
  <c r="T89" i="6"/>
  <c r="Y89" i="6"/>
  <c r="N87" i="6"/>
  <c r="S87" i="6"/>
  <c r="S94" i="6"/>
  <c r="N94" i="6"/>
  <c r="S70" i="6"/>
  <c r="N70" i="6"/>
  <c r="S64" i="6"/>
  <c r="N64" i="6"/>
  <c r="N63" i="6"/>
  <c r="S63" i="6"/>
  <c r="N69" i="6"/>
  <c r="S69" i="6"/>
  <c r="M66" i="6"/>
  <c r="K66" i="6"/>
  <c r="S65" i="6"/>
  <c r="N65" i="6"/>
  <c r="S46" i="6"/>
  <c r="N46" i="6"/>
  <c r="S45" i="6"/>
  <c r="N45" i="6"/>
  <c r="S44" i="6"/>
  <c r="N44" i="6"/>
  <c r="J18" i="6"/>
  <c r="S43" i="6"/>
  <c r="N43" i="6"/>
  <c r="S42" i="6"/>
  <c r="N42" i="6"/>
  <c r="H20" i="6"/>
  <c r="H22" i="6"/>
  <c r="H21" i="6"/>
  <c r="M159" i="29"/>
  <c r="K159" i="29"/>
  <c r="M155" i="29"/>
  <c r="K155" i="29"/>
  <c r="S158" i="29"/>
  <c r="N158" i="29"/>
  <c r="S161" i="29"/>
  <c r="N161" i="29"/>
  <c r="AW153" i="29"/>
  <c r="K153" i="29"/>
  <c r="K161" i="29"/>
  <c r="M153" i="29"/>
  <c r="K158" i="29"/>
  <c r="H155" i="29"/>
  <c r="H159" i="29"/>
  <c r="H135" i="29"/>
  <c r="AW134" i="29"/>
  <c r="H133" i="29"/>
  <c r="AW133" i="29"/>
  <c r="AW135" i="29"/>
  <c r="H131" i="29"/>
  <c r="H137" i="29"/>
  <c r="AW131" i="29"/>
  <c r="H110" i="29"/>
  <c r="H146" i="29"/>
  <c r="AW137" i="29"/>
  <c r="U146" i="29"/>
  <c r="AW136" i="29"/>
  <c r="H112" i="29"/>
  <c r="M132" i="29"/>
  <c r="K132" i="29"/>
  <c r="S135" i="29"/>
  <c r="N135" i="29"/>
  <c r="M134" i="29"/>
  <c r="K134" i="29"/>
  <c r="S137" i="29"/>
  <c r="N137" i="29"/>
  <c r="K136" i="29"/>
  <c r="M136" i="29"/>
  <c r="M138" i="29"/>
  <c r="K138" i="29"/>
  <c r="S133" i="29"/>
  <c r="N133" i="29"/>
  <c r="S131" i="29"/>
  <c r="N131" i="29"/>
  <c r="K133" i="29"/>
  <c r="K137" i="29"/>
  <c r="H130" i="29"/>
  <c r="AW130" i="29"/>
  <c r="H134" i="29"/>
  <c r="H138" i="29"/>
  <c r="J130" i="29"/>
  <c r="K131" i="29"/>
  <c r="K135" i="29"/>
  <c r="H132" i="29"/>
  <c r="H136" i="29"/>
  <c r="AW115" i="29"/>
  <c r="AW91" i="29"/>
  <c r="AW111" i="29"/>
  <c r="M114" i="29"/>
  <c r="S114" i="29" s="1"/>
  <c r="K114" i="29"/>
  <c r="AW110" i="29"/>
  <c r="AW109" i="29"/>
  <c r="H114" i="29"/>
  <c r="H108" i="29"/>
  <c r="U123" i="29"/>
  <c r="J85" i="29"/>
  <c r="M85" i="29" s="1"/>
  <c r="N85" i="29" s="1"/>
  <c r="AW114" i="29"/>
  <c r="H123" i="29"/>
  <c r="AW108" i="29"/>
  <c r="AW113" i="29"/>
  <c r="M115" i="29"/>
  <c r="K115" i="29"/>
  <c r="M109" i="29"/>
  <c r="K109" i="29"/>
  <c r="M111" i="29"/>
  <c r="K111" i="29"/>
  <c r="S108" i="29"/>
  <c r="N108" i="29"/>
  <c r="M112" i="29"/>
  <c r="K112" i="29"/>
  <c r="M113" i="29"/>
  <c r="K113" i="29"/>
  <c r="K110" i="29"/>
  <c r="M110" i="29"/>
  <c r="H107" i="29"/>
  <c r="H111" i="29"/>
  <c r="H115" i="29"/>
  <c r="J107" i="29"/>
  <c r="K108" i="29"/>
  <c r="H109" i="29"/>
  <c r="H113" i="29"/>
  <c r="H66" i="29"/>
  <c r="AW66" i="29"/>
  <c r="AW89" i="29"/>
  <c r="AW85" i="29"/>
  <c r="J91" i="29"/>
  <c r="J87" i="29"/>
  <c r="AW88" i="29"/>
  <c r="H90" i="29"/>
  <c r="U100" i="29"/>
  <c r="H86" i="29"/>
  <c r="AW87" i="29"/>
  <c r="AW90" i="29"/>
  <c r="H89" i="29"/>
  <c r="AW86" i="29"/>
  <c r="M88" i="29"/>
  <c r="K88" i="29"/>
  <c r="M84" i="29"/>
  <c r="K84" i="29"/>
  <c r="M90" i="29"/>
  <c r="K90" i="29"/>
  <c r="M86" i="29"/>
  <c r="K86" i="29"/>
  <c r="S89" i="29"/>
  <c r="N89" i="29"/>
  <c r="H88" i="29"/>
  <c r="J92" i="29"/>
  <c r="H84" i="29"/>
  <c r="K89" i="29"/>
  <c r="H100" i="29"/>
  <c r="AW63" i="29"/>
  <c r="AW64" i="29"/>
  <c r="J68" i="29"/>
  <c r="K68" i="29" s="1"/>
  <c r="H62" i="29"/>
  <c r="AW68" i="29"/>
  <c r="U77" i="29"/>
  <c r="AW62" i="29"/>
  <c r="AW65" i="29"/>
  <c r="H63" i="29"/>
  <c r="J64" i="29"/>
  <c r="K64" i="29" s="1"/>
  <c r="AW67" i="29"/>
  <c r="M66" i="29"/>
  <c r="K66" i="29"/>
  <c r="M63" i="29"/>
  <c r="K63" i="29"/>
  <c r="M62" i="29"/>
  <c r="K62" i="29"/>
  <c r="M65" i="29"/>
  <c r="K65" i="29"/>
  <c r="M67" i="29"/>
  <c r="K67" i="29"/>
  <c r="M61" i="29"/>
  <c r="K61" i="29"/>
  <c r="M69" i="29"/>
  <c r="K69" i="29"/>
  <c r="H61" i="29"/>
  <c r="H65" i="29"/>
  <c r="H69" i="29"/>
  <c r="H77" i="29"/>
  <c r="H67" i="29"/>
  <c r="AW40" i="29"/>
  <c r="AW39" i="29"/>
  <c r="K44" i="29"/>
  <c r="M44" i="29"/>
  <c r="S44" i="29" s="1"/>
  <c r="AA44" i="29" s="1"/>
  <c r="H44" i="29"/>
  <c r="H45" i="29"/>
  <c r="AW44" i="29"/>
  <c r="AW45" i="29"/>
  <c r="S45" i="29"/>
  <c r="N45" i="29"/>
  <c r="K45" i="29"/>
  <c r="AW42" i="29"/>
  <c r="J46" i="29"/>
  <c r="K46" i="29" s="1"/>
  <c r="AW41" i="29"/>
  <c r="AW43" i="29"/>
  <c r="K43" i="29"/>
  <c r="M43" i="29"/>
  <c r="K41" i="29"/>
  <c r="M41" i="29"/>
  <c r="K40" i="29"/>
  <c r="M40" i="29"/>
  <c r="K39" i="29"/>
  <c r="M39" i="29"/>
  <c r="H41" i="29"/>
  <c r="H40" i="29"/>
  <c r="H43" i="29"/>
  <c r="H39" i="29"/>
  <c r="J42" i="29"/>
  <c r="R15" i="29"/>
  <c r="R16" i="29"/>
  <c r="R17" i="29"/>
  <c r="R18" i="29"/>
  <c r="R19" i="29"/>
  <c r="R20" i="29"/>
  <c r="R21" i="29"/>
  <c r="O15" i="29"/>
  <c r="O16" i="29"/>
  <c r="O17" i="29"/>
  <c r="O18" i="29"/>
  <c r="O19" i="29"/>
  <c r="O20" i="29"/>
  <c r="O21" i="29"/>
  <c r="L15" i="29"/>
  <c r="L16" i="29"/>
  <c r="L17" i="29"/>
  <c r="L18" i="29"/>
  <c r="L19" i="29"/>
  <c r="L20" i="29"/>
  <c r="L21" i="29"/>
  <c r="I15" i="29"/>
  <c r="I16" i="29"/>
  <c r="I17" i="29"/>
  <c r="I18" i="29"/>
  <c r="I19" i="29"/>
  <c r="I20" i="29"/>
  <c r="I21" i="29"/>
  <c r="F15" i="29"/>
  <c r="F16" i="29"/>
  <c r="F17" i="29"/>
  <c r="F18" i="29"/>
  <c r="F19" i="29"/>
  <c r="F20" i="29"/>
  <c r="F21" i="29"/>
  <c r="E15" i="29"/>
  <c r="E16" i="29"/>
  <c r="E17" i="29"/>
  <c r="E18" i="29"/>
  <c r="E19" i="29"/>
  <c r="E20" i="29"/>
  <c r="E21" i="29"/>
  <c r="D15" i="29"/>
  <c r="D16" i="29"/>
  <c r="D17" i="29"/>
  <c r="D18" i="29"/>
  <c r="D19" i="29"/>
  <c r="D20" i="29"/>
  <c r="D21" i="29"/>
  <c r="D14" i="29"/>
  <c r="D21" i="5"/>
  <c r="AR161" i="5"/>
  <c r="AM161" i="5"/>
  <c r="AH161" i="5"/>
  <c r="AC161" i="5"/>
  <c r="X161" i="5"/>
  <c r="U161" i="5"/>
  <c r="G161" i="5"/>
  <c r="J161" i="5" s="1"/>
  <c r="AR160" i="5"/>
  <c r="AM160" i="5"/>
  <c r="AH160" i="5"/>
  <c r="AC160" i="5"/>
  <c r="X160" i="5"/>
  <c r="U160" i="5"/>
  <c r="G160" i="5"/>
  <c r="H160" i="5" s="1"/>
  <c r="AR159" i="5"/>
  <c r="AM159" i="5"/>
  <c r="AH159" i="5"/>
  <c r="AC159" i="5"/>
  <c r="X159" i="5"/>
  <c r="U159" i="5"/>
  <c r="G159" i="5"/>
  <c r="J159" i="5" s="1"/>
  <c r="AR158" i="5"/>
  <c r="AM158" i="5"/>
  <c r="AH158" i="5"/>
  <c r="AC158" i="5"/>
  <c r="X158" i="5"/>
  <c r="U158" i="5"/>
  <c r="G158" i="5"/>
  <c r="J158" i="5" s="1"/>
  <c r="AR157" i="5"/>
  <c r="AM157" i="5"/>
  <c r="AH157" i="5"/>
  <c r="AC157" i="5"/>
  <c r="X157" i="5"/>
  <c r="U157" i="5"/>
  <c r="G157" i="5"/>
  <c r="J157" i="5" s="1"/>
  <c r="AR156" i="5"/>
  <c r="AM156" i="5"/>
  <c r="AH156" i="5"/>
  <c r="AC156" i="5"/>
  <c r="X156" i="5"/>
  <c r="U156" i="5"/>
  <c r="G156" i="5"/>
  <c r="H156" i="5" s="1"/>
  <c r="AR155" i="5"/>
  <c r="AM155" i="5"/>
  <c r="AH155" i="5"/>
  <c r="AC155" i="5"/>
  <c r="X155" i="5"/>
  <c r="U155" i="5"/>
  <c r="G155" i="5"/>
  <c r="J155" i="5" s="1"/>
  <c r="AR154" i="5"/>
  <c r="AM154" i="5"/>
  <c r="AH154" i="5"/>
  <c r="AC154" i="5"/>
  <c r="X154" i="5"/>
  <c r="U154" i="5"/>
  <c r="G154" i="5"/>
  <c r="J154" i="5" s="1"/>
  <c r="AR153" i="5"/>
  <c r="AM153" i="5"/>
  <c r="AH153" i="5"/>
  <c r="AC153" i="5"/>
  <c r="X153" i="5"/>
  <c r="U153" i="5"/>
  <c r="G153" i="5"/>
  <c r="AR138" i="5"/>
  <c r="AM138" i="5"/>
  <c r="AH138" i="5"/>
  <c r="AC138" i="5"/>
  <c r="X138" i="5"/>
  <c r="U138" i="5"/>
  <c r="G138" i="5"/>
  <c r="H138" i="5" s="1"/>
  <c r="AR137" i="5"/>
  <c r="AM137" i="5"/>
  <c r="AH137" i="5"/>
  <c r="AC137" i="5"/>
  <c r="X137" i="5"/>
  <c r="U137" i="5"/>
  <c r="G137" i="5"/>
  <c r="H137" i="5" s="1"/>
  <c r="AR136" i="5"/>
  <c r="AM136" i="5"/>
  <c r="AH136" i="5"/>
  <c r="AC136" i="5"/>
  <c r="X136" i="5"/>
  <c r="U136" i="5"/>
  <c r="G136" i="5"/>
  <c r="H136" i="5" s="1"/>
  <c r="AR135" i="5"/>
  <c r="AM135" i="5"/>
  <c r="AH135" i="5"/>
  <c r="AC135" i="5"/>
  <c r="X135" i="5"/>
  <c r="U135" i="5"/>
  <c r="G135" i="5"/>
  <c r="J135" i="5" s="1"/>
  <c r="AR134" i="5"/>
  <c r="AM134" i="5"/>
  <c r="AH134" i="5"/>
  <c r="AC134" i="5"/>
  <c r="X134" i="5"/>
  <c r="U134" i="5"/>
  <c r="G134" i="5"/>
  <c r="H134" i="5" s="1"/>
  <c r="AR133" i="5"/>
  <c r="AM133" i="5"/>
  <c r="AH133" i="5"/>
  <c r="AC133" i="5"/>
  <c r="X133" i="5"/>
  <c r="U133" i="5"/>
  <c r="G133" i="5"/>
  <c r="H133" i="5" s="1"/>
  <c r="AR132" i="5"/>
  <c r="AM132" i="5"/>
  <c r="AH132" i="5"/>
  <c r="AC132" i="5"/>
  <c r="X132" i="5"/>
  <c r="U132" i="5"/>
  <c r="G132" i="5"/>
  <c r="J132" i="5" s="1"/>
  <c r="M132" i="5" s="1"/>
  <c r="AR131" i="5"/>
  <c r="AM131" i="5"/>
  <c r="AH131" i="5"/>
  <c r="AC131" i="5"/>
  <c r="X131" i="5"/>
  <c r="U131" i="5"/>
  <c r="G131" i="5"/>
  <c r="J131" i="5" s="1"/>
  <c r="AR130" i="5"/>
  <c r="AM130" i="5"/>
  <c r="AH130" i="5"/>
  <c r="AC130" i="5"/>
  <c r="X130" i="5"/>
  <c r="U130" i="5"/>
  <c r="G130" i="5"/>
  <c r="AR115" i="5"/>
  <c r="AM115" i="5"/>
  <c r="AH115" i="5"/>
  <c r="AC115" i="5"/>
  <c r="X115" i="5"/>
  <c r="U115" i="5"/>
  <c r="AR114" i="5"/>
  <c r="AM114" i="5"/>
  <c r="AH114" i="5"/>
  <c r="AC114" i="5"/>
  <c r="X114" i="5"/>
  <c r="U114" i="5"/>
  <c r="G114" i="5"/>
  <c r="H114" i="5" s="1"/>
  <c r="AR113" i="5"/>
  <c r="AM113" i="5"/>
  <c r="AH113" i="5"/>
  <c r="AC113" i="5"/>
  <c r="X113" i="5"/>
  <c r="U113" i="5"/>
  <c r="G113" i="5"/>
  <c r="J113" i="5" s="1"/>
  <c r="AR112" i="5"/>
  <c r="AM112" i="5"/>
  <c r="AH112" i="5"/>
  <c r="AC112" i="5"/>
  <c r="X112" i="5"/>
  <c r="U112" i="5"/>
  <c r="G112" i="5"/>
  <c r="J112" i="5" s="1"/>
  <c r="AR111" i="5"/>
  <c r="AM111" i="5"/>
  <c r="AH111" i="5"/>
  <c r="AC111" i="5"/>
  <c r="X111" i="5"/>
  <c r="U111" i="5"/>
  <c r="G111" i="5"/>
  <c r="J111" i="5" s="1"/>
  <c r="AR110" i="5"/>
  <c r="AM110" i="5"/>
  <c r="AH110" i="5"/>
  <c r="AC110" i="5"/>
  <c r="X110" i="5"/>
  <c r="U110" i="5"/>
  <c r="G110" i="5"/>
  <c r="H110" i="5" s="1"/>
  <c r="AR109" i="5"/>
  <c r="AM109" i="5"/>
  <c r="AH109" i="5"/>
  <c r="AC109" i="5"/>
  <c r="X109" i="5"/>
  <c r="U109" i="5"/>
  <c r="G109" i="5"/>
  <c r="J109" i="5" s="1"/>
  <c r="AR108" i="5"/>
  <c r="AM108" i="5"/>
  <c r="AH108" i="5"/>
  <c r="AC108" i="5"/>
  <c r="X108" i="5"/>
  <c r="U108" i="5"/>
  <c r="G108" i="5"/>
  <c r="J108" i="5" s="1"/>
  <c r="AR107" i="5"/>
  <c r="AM107" i="5"/>
  <c r="AH107" i="5"/>
  <c r="AC107" i="5"/>
  <c r="U107" i="5"/>
  <c r="G107" i="5"/>
  <c r="J107" i="5" s="1"/>
  <c r="AR92" i="5"/>
  <c r="AM92" i="5"/>
  <c r="AH92" i="5"/>
  <c r="AC92" i="5"/>
  <c r="U92" i="5"/>
  <c r="G92" i="5"/>
  <c r="H92" i="5" s="1"/>
  <c r="AR91" i="5"/>
  <c r="AM91" i="5"/>
  <c r="AH91" i="5"/>
  <c r="AC91" i="5"/>
  <c r="X91" i="5"/>
  <c r="U91" i="5"/>
  <c r="G91" i="5"/>
  <c r="H91" i="5" s="1"/>
  <c r="AR90" i="5"/>
  <c r="AM90" i="5"/>
  <c r="AH90" i="5"/>
  <c r="AC90" i="5"/>
  <c r="X90" i="5"/>
  <c r="U90" i="5"/>
  <c r="G90" i="5"/>
  <c r="J90" i="5" s="1"/>
  <c r="AR89" i="5"/>
  <c r="AM89" i="5"/>
  <c r="AH89" i="5"/>
  <c r="AC89" i="5"/>
  <c r="X89" i="5"/>
  <c r="U89" i="5"/>
  <c r="G89" i="5"/>
  <c r="J89" i="5" s="1"/>
  <c r="AR88" i="5"/>
  <c r="AM88" i="5"/>
  <c r="AH88" i="5"/>
  <c r="AC88" i="5"/>
  <c r="X88" i="5"/>
  <c r="U88" i="5"/>
  <c r="G88" i="5"/>
  <c r="J88" i="5" s="1"/>
  <c r="M88" i="5" s="1"/>
  <c r="AR87" i="5"/>
  <c r="AM87" i="5"/>
  <c r="AH87" i="5"/>
  <c r="AC87" i="5"/>
  <c r="X87" i="5"/>
  <c r="U87" i="5"/>
  <c r="G87" i="5"/>
  <c r="J87" i="5" s="1"/>
  <c r="M87" i="5" s="1"/>
  <c r="AR86" i="5"/>
  <c r="AM86" i="5"/>
  <c r="AH86" i="5"/>
  <c r="AC86" i="5"/>
  <c r="X86" i="5"/>
  <c r="U86" i="5"/>
  <c r="G86" i="5"/>
  <c r="J86" i="5" s="1"/>
  <c r="AR85" i="5"/>
  <c r="AM85" i="5"/>
  <c r="AH85" i="5"/>
  <c r="AC85" i="5"/>
  <c r="X85" i="5"/>
  <c r="U85" i="5"/>
  <c r="G85" i="5"/>
  <c r="J85" i="5" s="1"/>
  <c r="AR84" i="5"/>
  <c r="AM84" i="5"/>
  <c r="AH84" i="5"/>
  <c r="AC84" i="5"/>
  <c r="U84" i="5"/>
  <c r="G84" i="5"/>
  <c r="D14" i="5"/>
  <c r="AR69" i="5"/>
  <c r="AM69" i="5"/>
  <c r="AH69" i="5"/>
  <c r="AC69" i="5"/>
  <c r="U69" i="5"/>
  <c r="G69" i="5"/>
  <c r="H69" i="5" s="1"/>
  <c r="AR68" i="5"/>
  <c r="AM68" i="5"/>
  <c r="AH68" i="5"/>
  <c r="AC68" i="5"/>
  <c r="X68" i="5"/>
  <c r="U68" i="5"/>
  <c r="G68" i="5"/>
  <c r="H68" i="5" s="1"/>
  <c r="AR67" i="5"/>
  <c r="AM67" i="5"/>
  <c r="AH67" i="5"/>
  <c r="AC67" i="5"/>
  <c r="X67" i="5"/>
  <c r="U67" i="5"/>
  <c r="G67" i="5"/>
  <c r="J67" i="5" s="1"/>
  <c r="AR66" i="5"/>
  <c r="AM66" i="5"/>
  <c r="AH66" i="5"/>
  <c r="AC66" i="5"/>
  <c r="X66" i="5"/>
  <c r="U66" i="5"/>
  <c r="G66" i="5"/>
  <c r="J66" i="5" s="1"/>
  <c r="M66" i="5" s="1"/>
  <c r="AR65" i="5"/>
  <c r="AM65" i="5"/>
  <c r="AH65" i="5"/>
  <c r="AC65" i="5"/>
  <c r="X65" i="5"/>
  <c r="U65" i="5"/>
  <c r="G65" i="5"/>
  <c r="H65" i="5" s="1"/>
  <c r="AR64" i="5"/>
  <c r="AM64" i="5"/>
  <c r="AH64" i="5"/>
  <c r="AC64" i="5"/>
  <c r="X64" i="5"/>
  <c r="U64" i="5"/>
  <c r="G64" i="5"/>
  <c r="J64" i="5" s="1"/>
  <c r="AR63" i="5"/>
  <c r="AM63" i="5"/>
  <c r="AH63" i="5"/>
  <c r="AC63" i="5"/>
  <c r="X63" i="5"/>
  <c r="U63" i="5"/>
  <c r="G63" i="5"/>
  <c r="H63" i="5" s="1"/>
  <c r="AR62" i="5"/>
  <c r="AM62" i="5"/>
  <c r="AH62" i="5"/>
  <c r="AC62" i="5"/>
  <c r="X62" i="5"/>
  <c r="U62" i="5"/>
  <c r="G62" i="5"/>
  <c r="J62" i="5" s="1"/>
  <c r="M62" i="5" s="1"/>
  <c r="AR61" i="5"/>
  <c r="AM61" i="5"/>
  <c r="AH61" i="5"/>
  <c r="AC61" i="5"/>
  <c r="U61" i="5"/>
  <c r="G61" i="5"/>
  <c r="J61" i="5" s="1"/>
  <c r="G39" i="5"/>
  <c r="J39" i="5" s="1"/>
  <c r="M39" i="5" s="1"/>
  <c r="S39" i="5" s="1"/>
  <c r="G40" i="5"/>
  <c r="J40" i="5" s="1"/>
  <c r="M40" i="5" s="1"/>
  <c r="S40" i="5" s="1"/>
  <c r="G41" i="5"/>
  <c r="J41" i="5" s="1"/>
  <c r="M41" i="5" s="1"/>
  <c r="S41" i="5" s="1"/>
  <c r="G42" i="5"/>
  <c r="J42" i="5" s="1"/>
  <c r="M42" i="5" s="1"/>
  <c r="S42" i="5" s="1"/>
  <c r="G43" i="5"/>
  <c r="J43" i="5" s="1"/>
  <c r="M43" i="5" s="1"/>
  <c r="S43" i="5" s="1"/>
  <c r="G44" i="5"/>
  <c r="J44" i="5" s="1"/>
  <c r="M44" i="5" s="1"/>
  <c r="S44" i="5" s="1"/>
  <c r="G45" i="5"/>
  <c r="J45" i="5" s="1"/>
  <c r="M45" i="5" s="1"/>
  <c r="S45" i="5" s="1"/>
  <c r="G46" i="5"/>
  <c r="J46" i="5" s="1"/>
  <c r="M46" i="5" s="1"/>
  <c r="S46" i="5" s="1"/>
  <c r="U39" i="5"/>
  <c r="U40" i="5"/>
  <c r="U41" i="5"/>
  <c r="U42" i="5"/>
  <c r="U43" i="5"/>
  <c r="U44" i="5"/>
  <c r="U45" i="5"/>
  <c r="U46" i="5"/>
  <c r="X39" i="5"/>
  <c r="X40" i="5"/>
  <c r="X41" i="5"/>
  <c r="X42" i="5"/>
  <c r="X43" i="5"/>
  <c r="X44" i="5"/>
  <c r="X45" i="5"/>
  <c r="AC39" i="5"/>
  <c r="AC40" i="5"/>
  <c r="AC41" i="5"/>
  <c r="AC42" i="5"/>
  <c r="AC43" i="5"/>
  <c r="AC44" i="5"/>
  <c r="AC45" i="5"/>
  <c r="AC46" i="5"/>
  <c r="AH39" i="5"/>
  <c r="AH40" i="5"/>
  <c r="AH41" i="5"/>
  <c r="AH42" i="5"/>
  <c r="AH43" i="5"/>
  <c r="AH44" i="5"/>
  <c r="AH45" i="5"/>
  <c r="AH46" i="5"/>
  <c r="AM39" i="5"/>
  <c r="AM40" i="5"/>
  <c r="AM41" i="5"/>
  <c r="AM42" i="5"/>
  <c r="AM43" i="5"/>
  <c r="AM44" i="5"/>
  <c r="AM45" i="5"/>
  <c r="AM46" i="5"/>
  <c r="AR39" i="5"/>
  <c r="AR40" i="5"/>
  <c r="AR41" i="5"/>
  <c r="AR42" i="5"/>
  <c r="AR43" i="5"/>
  <c r="AR44" i="5"/>
  <c r="AR45" i="5"/>
  <c r="AR46" i="5"/>
  <c r="U456" i="22" l="1"/>
  <c r="X384" i="22"/>
  <c r="X392" i="22"/>
  <c r="X394" i="22" s="1"/>
  <c r="Z379" i="22"/>
  <c r="Y380" i="22"/>
  <c r="Y381" i="22" s="1"/>
  <c r="Y383" i="22" s="1"/>
  <c r="V442" i="22"/>
  <c r="V443" i="22" s="1"/>
  <c r="V445" i="22" s="1"/>
  <c r="W441" i="22"/>
  <c r="U361" i="22"/>
  <c r="U363" i="22" s="1"/>
  <c r="U353" i="22"/>
  <c r="U446" i="22"/>
  <c r="U454" i="22"/>
  <c r="W348" i="22"/>
  <c r="V349" i="22"/>
  <c r="V350" i="22" s="1"/>
  <c r="V352" i="22" s="1"/>
  <c r="U485" i="22"/>
  <c r="U487" i="22" s="1"/>
  <c r="U477" i="22"/>
  <c r="W472" i="22"/>
  <c r="V473" i="22"/>
  <c r="V474" i="22" s="1"/>
  <c r="V476" i="22" s="1"/>
  <c r="Y411" i="22"/>
  <c r="Y412" i="22" s="1"/>
  <c r="Y414" i="22" s="1"/>
  <c r="Z410" i="22"/>
  <c r="X415" i="22"/>
  <c r="X423" i="22"/>
  <c r="X425" i="22" s="1"/>
  <c r="H132" i="5"/>
  <c r="J138" i="5"/>
  <c r="M138" i="5" s="1"/>
  <c r="S138" i="5" s="1"/>
  <c r="J91" i="5"/>
  <c r="M91" i="5" s="1"/>
  <c r="S91" i="5" s="1"/>
  <c r="H88" i="5"/>
  <c r="H131" i="5"/>
  <c r="U146" i="5"/>
  <c r="H66" i="5"/>
  <c r="H135" i="5"/>
  <c r="J114" i="5"/>
  <c r="M114" i="5" s="1"/>
  <c r="S114" i="5" s="1"/>
  <c r="H100" i="5"/>
  <c r="J65" i="5"/>
  <c r="M65" i="5" s="1"/>
  <c r="N65" i="5" s="1"/>
  <c r="K132" i="5"/>
  <c r="J160" i="5"/>
  <c r="M160" i="5" s="1"/>
  <c r="N160" i="5" s="1"/>
  <c r="H62" i="5"/>
  <c r="H86" i="5"/>
  <c r="H89" i="5"/>
  <c r="J136" i="5"/>
  <c r="M136" i="5" s="1"/>
  <c r="J68" i="5"/>
  <c r="K68" i="5" s="1"/>
  <c r="H108" i="5"/>
  <c r="H113" i="5"/>
  <c r="K21" i="6"/>
  <c r="K22" i="6"/>
  <c r="N67" i="6"/>
  <c r="M20" i="6"/>
  <c r="I20" i="13" s="1"/>
  <c r="J20" i="13" s="1"/>
  <c r="K20" i="6"/>
  <c r="M22" i="6"/>
  <c r="I22" i="13" s="1"/>
  <c r="J22" i="13" s="1"/>
  <c r="Y112" i="6"/>
  <c r="Z112" i="6" s="1"/>
  <c r="T115" i="6"/>
  <c r="N102" i="6"/>
  <c r="H20" i="13"/>
  <c r="H21" i="13"/>
  <c r="M18" i="6"/>
  <c r="I18" i="13" s="1"/>
  <c r="G18" i="13"/>
  <c r="H18" i="13" s="1"/>
  <c r="H22" i="13"/>
  <c r="M21" i="6"/>
  <c r="I21" i="13" s="1"/>
  <c r="J21" i="13" s="1"/>
  <c r="V115" i="6"/>
  <c r="N92" i="6"/>
  <c r="N86" i="6"/>
  <c r="S86" i="6"/>
  <c r="AM20" i="5"/>
  <c r="AH19" i="5"/>
  <c r="AC15" i="5"/>
  <c r="AM19" i="5"/>
  <c r="AH20" i="5"/>
  <c r="AC16" i="5"/>
  <c r="AR15" i="5"/>
  <c r="AC21" i="5"/>
  <c r="AM15" i="5"/>
  <c r="U100" i="5"/>
  <c r="K64" i="5"/>
  <c r="M64" i="5"/>
  <c r="S64" i="5" s="1"/>
  <c r="V64" i="5" s="1"/>
  <c r="M61" i="5"/>
  <c r="K61" i="5"/>
  <c r="M154" i="5"/>
  <c r="K154" i="5"/>
  <c r="M158" i="5"/>
  <c r="K158" i="5"/>
  <c r="J69" i="5"/>
  <c r="U77" i="5"/>
  <c r="H169" i="5"/>
  <c r="H84" i="5"/>
  <c r="H87" i="5"/>
  <c r="U123" i="5"/>
  <c r="J84" i="5"/>
  <c r="M84" i="5" s="1"/>
  <c r="S84" i="5" s="1"/>
  <c r="J110" i="5"/>
  <c r="H77" i="5"/>
  <c r="J134" i="5"/>
  <c r="M134" i="5" s="1"/>
  <c r="S134" i="5" s="1"/>
  <c r="H61" i="5"/>
  <c r="H146" i="5"/>
  <c r="H158" i="5"/>
  <c r="J92" i="5"/>
  <c r="M92" i="5" s="1"/>
  <c r="N92" i="5" s="1"/>
  <c r="H109" i="5"/>
  <c r="H112" i="5"/>
  <c r="J130" i="5"/>
  <c r="M130" i="5" s="1"/>
  <c r="U169" i="5"/>
  <c r="H64" i="5"/>
  <c r="K65" i="5"/>
  <c r="H154" i="5"/>
  <c r="H85" i="5"/>
  <c r="AR22" i="5"/>
  <c r="AM22" i="5"/>
  <c r="AR17" i="5"/>
  <c r="AR21" i="5"/>
  <c r="AR20" i="5"/>
  <c r="AR19" i="5"/>
  <c r="AC19" i="5"/>
  <c r="AR18" i="5"/>
  <c r="H58" i="18" s="1"/>
  <c r="AH18" i="5"/>
  <c r="AH17" i="5"/>
  <c r="AC17" i="5"/>
  <c r="AH16" i="5"/>
  <c r="AM16" i="5"/>
  <c r="AR16" i="5"/>
  <c r="AH15" i="5"/>
  <c r="Z311" i="22"/>
  <c r="AM18" i="5"/>
  <c r="G58" i="18" s="1"/>
  <c r="AH22" i="5"/>
  <c r="AC22" i="5"/>
  <c r="AC18" i="5"/>
  <c r="AM21" i="5"/>
  <c r="AM17" i="5"/>
  <c r="AH21" i="5"/>
  <c r="AC20" i="5"/>
  <c r="X15" i="5"/>
  <c r="X18" i="5"/>
  <c r="X21" i="5"/>
  <c r="X17" i="5"/>
  <c r="X20" i="5"/>
  <c r="I102" i="18" s="1"/>
  <c r="X16" i="5"/>
  <c r="X19" i="5"/>
  <c r="K157" i="29"/>
  <c r="N160" i="29"/>
  <c r="AW154" i="5"/>
  <c r="Z118" i="7"/>
  <c r="AA118" i="7" s="1"/>
  <c r="AC118" i="7"/>
  <c r="N154" i="29"/>
  <c r="K160" i="29"/>
  <c r="K156" i="29"/>
  <c r="S156" i="29"/>
  <c r="T156" i="29" s="1"/>
  <c r="N157" i="29"/>
  <c r="K169" i="29"/>
  <c r="K154" i="29"/>
  <c r="N114" i="29"/>
  <c r="S85" i="29"/>
  <c r="T85" i="29" s="1"/>
  <c r="AW66" i="5"/>
  <c r="AW62" i="5"/>
  <c r="AW155" i="5"/>
  <c r="AW157" i="5"/>
  <c r="AW161" i="5"/>
  <c r="AW159" i="5"/>
  <c r="AW158" i="5"/>
  <c r="AW156" i="5"/>
  <c r="AW160" i="5"/>
  <c r="AW132" i="5"/>
  <c r="AW136" i="5"/>
  <c r="AW134" i="5"/>
  <c r="AW138" i="5"/>
  <c r="AW131" i="5"/>
  <c r="AW133" i="5"/>
  <c r="AW135" i="5"/>
  <c r="AW137" i="5"/>
  <c r="AW110" i="5"/>
  <c r="AW114" i="5"/>
  <c r="AW109" i="5"/>
  <c r="AW111" i="5"/>
  <c r="AW112" i="5"/>
  <c r="AW113" i="5"/>
  <c r="AW115" i="5"/>
  <c r="AW108" i="5"/>
  <c r="AW86" i="5"/>
  <c r="AW87" i="5"/>
  <c r="AW90" i="5"/>
  <c r="AW91" i="5"/>
  <c r="AW88" i="5"/>
  <c r="AW89" i="5"/>
  <c r="AW85" i="5"/>
  <c r="AW68" i="5"/>
  <c r="AW67" i="5"/>
  <c r="AW63" i="5"/>
  <c r="AW64" i="5"/>
  <c r="AW65" i="5"/>
  <c r="AW44" i="5"/>
  <c r="AW41" i="5"/>
  <c r="AA44" i="5"/>
  <c r="AF44" i="5" s="1"/>
  <c r="AA43" i="5"/>
  <c r="AF43" i="5" s="1"/>
  <c r="AA42" i="5"/>
  <c r="AF42" i="5" s="1"/>
  <c r="AA41" i="5"/>
  <c r="AF41" i="5" s="1"/>
  <c r="N160" i="6"/>
  <c r="S160" i="6"/>
  <c r="Y133" i="6"/>
  <c r="T133" i="6"/>
  <c r="V133" i="6"/>
  <c r="S136" i="6"/>
  <c r="N136" i="6"/>
  <c r="S138" i="6"/>
  <c r="N138" i="6"/>
  <c r="N148" i="6"/>
  <c r="S137" i="6"/>
  <c r="N137" i="6"/>
  <c r="S132" i="6"/>
  <c r="N132" i="6"/>
  <c r="Y110" i="6"/>
  <c r="T110" i="6"/>
  <c r="V110" i="6"/>
  <c r="Y116" i="6"/>
  <c r="T116" i="6"/>
  <c r="V116" i="6"/>
  <c r="S109" i="6"/>
  <c r="N109" i="6"/>
  <c r="N125" i="6"/>
  <c r="Y92" i="6"/>
  <c r="V92" i="6"/>
  <c r="T92" i="6"/>
  <c r="S91" i="6"/>
  <c r="N91" i="6"/>
  <c r="N68" i="6"/>
  <c r="S68" i="6"/>
  <c r="S62" i="6"/>
  <c r="N62" i="6"/>
  <c r="AB162" i="6"/>
  <c r="Z162" i="6"/>
  <c r="T163" i="6"/>
  <c r="Y163" i="6"/>
  <c r="V163" i="6"/>
  <c r="T157" i="6"/>
  <c r="V157" i="6"/>
  <c r="Y157" i="6"/>
  <c r="T155" i="6"/>
  <c r="Y155" i="6"/>
  <c r="V155" i="6"/>
  <c r="Y161" i="6"/>
  <c r="V161" i="6"/>
  <c r="T161" i="6"/>
  <c r="Y159" i="6"/>
  <c r="V159" i="6"/>
  <c r="T159" i="6"/>
  <c r="Z158" i="6"/>
  <c r="AB158" i="6"/>
  <c r="AB156" i="6"/>
  <c r="Z156" i="6"/>
  <c r="T140" i="6"/>
  <c r="X152" i="7"/>
  <c r="V140" i="6"/>
  <c r="V135" i="6"/>
  <c r="T135" i="6"/>
  <c r="Y135" i="6"/>
  <c r="V139" i="6"/>
  <c r="Y139" i="6"/>
  <c r="X143" i="7" s="1"/>
  <c r="T139" i="6"/>
  <c r="T134" i="6"/>
  <c r="Y134" i="6"/>
  <c r="V134" i="6"/>
  <c r="Y114" i="6"/>
  <c r="V114" i="6"/>
  <c r="T114" i="6"/>
  <c r="Y113" i="6"/>
  <c r="V113" i="6"/>
  <c r="T113" i="6"/>
  <c r="AB115" i="6"/>
  <c r="Z115" i="6"/>
  <c r="T111" i="6"/>
  <c r="V111" i="6"/>
  <c r="Y111" i="6"/>
  <c r="T117" i="6"/>
  <c r="V117" i="6"/>
  <c r="Y117" i="6"/>
  <c r="X120" i="7" s="1"/>
  <c r="T94" i="6"/>
  <c r="V94" i="6"/>
  <c r="T87" i="6"/>
  <c r="Y87" i="6"/>
  <c r="V87" i="6"/>
  <c r="T88" i="6"/>
  <c r="V88" i="6"/>
  <c r="Y88" i="6"/>
  <c r="AB89" i="6"/>
  <c r="Z89" i="6"/>
  <c r="T93" i="6"/>
  <c r="Y93" i="6"/>
  <c r="X95" i="7" s="1"/>
  <c r="V93" i="6"/>
  <c r="Y90" i="6"/>
  <c r="V90" i="6"/>
  <c r="T90" i="6"/>
  <c r="Y63" i="6"/>
  <c r="V63" i="6"/>
  <c r="T63" i="6"/>
  <c r="V65" i="6"/>
  <c r="T65" i="6"/>
  <c r="Y65" i="6"/>
  <c r="S66" i="6"/>
  <c r="N66" i="6"/>
  <c r="T64" i="6"/>
  <c r="V64" i="6"/>
  <c r="Y64" i="6"/>
  <c r="N78" i="6"/>
  <c r="T70" i="6"/>
  <c r="V70" i="6"/>
  <c r="Y67" i="6"/>
  <c r="V67" i="6"/>
  <c r="T67" i="6"/>
  <c r="Y69" i="6"/>
  <c r="X71" i="7" s="1"/>
  <c r="T69" i="6"/>
  <c r="V69" i="6"/>
  <c r="V46" i="6"/>
  <c r="T46" i="6"/>
  <c r="V45" i="6"/>
  <c r="T45" i="6"/>
  <c r="Y45" i="6"/>
  <c r="R47" i="7" s="1"/>
  <c r="K18" i="6"/>
  <c r="V44" i="6"/>
  <c r="T44" i="6"/>
  <c r="Y44" i="6"/>
  <c r="R46" i="7" s="1"/>
  <c r="T43" i="6"/>
  <c r="V43" i="6"/>
  <c r="Y43" i="6"/>
  <c r="R45" i="7" s="1"/>
  <c r="T42" i="6"/>
  <c r="Y42" i="6"/>
  <c r="R44" i="7" s="1"/>
  <c r="V42" i="6"/>
  <c r="S22" i="6"/>
  <c r="K22" i="13" s="1"/>
  <c r="N20" i="6"/>
  <c r="S153" i="29"/>
  <c r="N153" i="29"/>
  <c r="N155" i="29"/>
  <c r="S155" i="29"/>
  <c r="S159" i="29"/>
  <c r="N159" i="29"/>
  <c r="AA160" i="29"/>
  <c r="V160" i="29"/>
  <c r="T160" i="29"/>
  <c r="V161" i="29"/>
  <c r="T161" i="29"/>
  <c r="AA161" i="29"/>
  <c r="V157" i="29"/>
  <c r="T157" i="29"/>
  <c r="AA157" i="29"/>
  <c r="T158" i="29"/>
  <c r="AA158" i="29"/>
  <c r="V158" i="29"/>
  <c r="T154" i="29"/>
  <c r="AA154" i="29"/>
  <c r="V154" i="29"/>
  <c r="K85" i="29"/>
  <c r="K146" i="29"/>
  <c r="M130" i="29"/>
  <c r="K130" i="29"/>
  <c r="S138" i="29"/>
  <c r="N138" i="29"/>
  <c r="S136" i="29"/>
  <c r="N136" i="29"/>
  <c r="AA137" i="29"/>
  <c r="V137" i="29"/>
  <c r="T137" i="29"/>
  <c r="S134" i="29"/>
  <c r="N134" i="29"/>
  <c r="T131" i="29"/>
  <c r="AA131" i="29"/>
  <c r="V131" i="29"/>
  <c r="T135" i="29"/>
  <c r="AA135" i="29"/>
  <c r="V135" i="29"/>
  <c r="AA133" i="29"/>
  <c r="V133" i="29"/>
  <c r="T133" i="29"/>
  <c r="S132" i="29"/>
  <c r="N132" i="29"/>
  <c r="K100" i="29"/>
  <c r="S115" i="29"/>
  <c r="N115" i="29"/>
  <c r="S112" i="29"/>
  <c r="N112" i="29"/>
  <c r="T108" i="29"/>
  <c r="V108" i="29"/>
  <c r="AA108" i="29"/>
  <c r="K123" i="29"/>
  <c r="M107" i="29"/>
  <c r="K107" i="29"/>
  <c r="AA114" i="29"/>
  <c r="V114" i="29"/>
  <c r="T114" i="29"/>
  <c r="S111" i="29"/>
  <c r="N111" i="29"/>
  <c r="S109" i="29"/>
  <c r="N109" i="29"/>
  <c r="S110" i="29"/>
  <c r="N110" i="29"/>
  <c r="S113" i="29"/>
  <c r="N113" i="29"/>
  <c r="M68" i="29"/>
  <c r="N68" i="29" s="1"/>
  <c r="M87" i="29"/>
  <c r="K87" i="29"/>
  <c r="K91" i="29"/>
  <c r="M91" i="29"/>
  <c r="K77" i="29"/>
  <c r="S88" i="29"/>
  <c r="N88" i="29"/>
  <c r="M92" i="29"/>
  <c r="K92" i="29"/>
  <c r="S90" i="29"/>
  <c r="N90" i="29"/>
  <c r="S86" i="29"/>
  <c r="N86" i="29"/>
  <c r="T89" i="29"/>
  <c r="V89" i="29"/>
  <c r="AA89" i="29"/>
  <c r="S84" i="29"/>
  <c r="N84" i="29"/>
  <c r="M64" i="29"/>
  <c r="N64" i="29" s="1"/>
  <c r="S61" i="29"/>
  <c r="N61" i="29"/>
  <c r="S67" i="29"/>
  <c r="N67" i="29"/>
  <c r="S65" i="29"/>
  <c r="N65" i="29"/>
  <c r="S62" i="29"/>
  <c r="N62" i="29"/>
  <c r="S63" i="29"/>
  <c r="N63" i="29"/>
  <c r="S69" i="29"/>
  <c r="N69" i="29"/>
  <c r="S66" i="29"/>
  <c r="N66" i="29"/>
  <c r="N44" i="29"/>
  <c r="T44" i="29"/>
  <c r="V44" i="29"/>
  <c r="AB44" i="29"/>
  <c r="AF44" i="29"/>
  <c r="AA45" i="29"/>
  <c r="V45" i="29"/>
  <c r="T45" i="29"/>
  <c r="M46" i="29"/>
  <c r="S46" i="29" s="1"/>
  <c r="N40" i="29"/>
  <c r="S40" i="29"/>
  <c r="N39" i="29"/>
  <c r="S39" i="29"/>
  <c r="S41" i="29"/>
  <c r="N41" i="29"/>
  <c r="K42" i="29"/>
  <c r="M42" i="29"/>
  <c r="N43" i="29"/>
  <c r="S43" i="29"/>
  <c r="G18" i="29"/>
  <c r="J18" i="29" s="1"/>
  <c r="K18" i="29" s="1"/>
  <c r="G17" i="29"/>
  <c r="H17" i="29" s="1"/>
  <c r="G16" i="29"/>
  <c r="H16" i="29" s="1"/>
  <c r="G15" i="29"/>
  <c r="J15" i="29" s="1"/>
  <c r="U18" i="29"/>
  <c r="U17" i="29"/>
  <c r="U15" i="29"/>
  <c r="U16" i="29"/>
  <c r="U20" i="29"/>
  <c r="U19" i="29"/>
  <c r="AW21" i="29"/>
  <c r="G21" i="29"/>
  <c r="H21" i="29" s="1"/>
  <c r="G20" i="29"/>
  <c r="J20" i="29" s="1"/>
  <c r="G19" i="29"/>
  <c r="H19" i="29" s="1"/>
  <c r="U21" i="29"/>
  <c r="M157" i="5"/>
  <c r="K157" i="5"/>
  <c r="M155" i="5"/>
  <c r="K155" i="5"/>
  <c r="M159" i="5"/>
  <c r="K159" i="5"/>
  <c r="M161" i="5"/>
  <c r="K161" i="5"/>
  <c r="H153" i="5"/>
  <c r="AW153" i="5"/>
  <c r="H157" i="5"/>
  <c r="H161" i="5"/>
  <c r="J153" i="5"/>
  <c r="H155" i="5"/>
  <c r="H159" i="5"/>
  <c r="J156" i="5"/>
  <c r="S132" i="5"/>
  <c r="N132" i="5"/>
  <c r="M131" i="5"/>
  <c r="K131" i="5"/>
  <c r="M135" i="5"/>
  <c r="K135" i="5"/>
  <c r="S136" i="5"/>
  <c r="N136" i="5"/>
  <c r="J133" i="5"/>
  <c r="J137" i="5"/>
  <c r="H130" i="5"/>
  <c r="AW130" i="5"/>
  <c r="M109" i="5"/>
  <c r="K109" i="5"/>
  <c r="M112" i="5"/>
  <c r="K112" i="5"/>
  <c r="M108" i="5"/>
  <c r="K108" i="5"/>
  <c r="M111" i="5"/>
  <c r="K111" i="5"/>
  <c r="N114" i="5"/>
  <c r="M113" i="5"/>
  <c r="K113" i="5"/>
  <c r="M107" i="5"/>
  <c r="K107" i="5"/>
  <c r="H107" i="5"/>
  <c r="H111" i="5"/>
  <c r="H123" i="5"/>
  <c r="M85" i="5"/>
  <c r="K85" i="5"/>
  <c r="S88" i="5"/>
  <c r="N88" i="5"/>
  <c r="M90" i="5"/>
  <c r="K90" i="5"/>
  <c r="M89" i="5"/>
  <c r="K89" i="5"/>
  <c r="M86" i="5"/>
  <c r="K86" i="5"/>
  <c r="N84" i="5"/>
  <c r="S87" i="5"/>
  <c r="N87" i="5"/>
  <c r="K87" i="5"/>
  <c r="K91" i="5"/>
  <c r="K88" i="5"/>
  <c r="H90" i="5"/>
  <c r="M67" i="5"/>
  <c r="K67" i="5"/>
  <c r="N62" i="5"/>
  <c r="S62" i="5"/>
  <c r="N66" i="5"/>
  <c r="S66" i="5"/>
  <c r="K62" i="5"/>
  <c r="K66" i="5"/>
  <c r="H67" i="5"/>
  <c r="J63" i="5"/>
  <c r="AA45" i="5"/>
  <c r="AF45" i="5" s="1"/>
  <c r="AK45" i="5" s="1"/>
  <c r="AP45" i="5" s="1"/>
  <c r="AU45" i="5" s="1"/>
  <c r="AV45" i="5" s="1"/>
  <c r="AA39" i="5"/>
  <c r="AF39" i="5" s="1"/>
  <c r="AA40" i="5"/>
  <c r="AF40" i="5" s="1"/>
  <c r="AW40" i="5"/>
  <c r="AW45" i="5"/>
  <c r="AW42" i="5"/>
  <c r="AW39" i="5"/>
  <c r="AW43" i="5"/>
  <c r="V45" i="5"/>
  <c r="V46" i="5"/>
  <c r="T45" i="5"/>
  <c r="T46" i="5"/>
  <c r="H39" i="5"/>
  <c r="H40" i="5"/>
  <c r="H41" i="5"/>
  <c r="H42" i="5"/>
  <c r="H43" i="5"/>
  <c r="H44" i="5"/>
  <c r="H45" i="5"/>
  <c r="H46" i="5"/>
  <c r="N39" i="5"/>
  <c r="N40" i="5"/>
  <c r="N41" i="5"/>
  <c r="N42" i="5"/>
  <c r="N43" i="5"/>
  <c r="N44" i="5"/>
  <c r="N45" i="5"/>
  <c r="N46" i="5"/>
  <c r="K46" i="5"/>
  <c r="K39" i="5"/>
  <c r="K40" i="5"/>
  <c r="K41" i="5"/>
  <c r="K42" i="5"/>
  <c r="K43" i="5"/>
  <c r="K44" i="5"/>
  <c r="K45" i="5"/>
  <c r="AS15" i="5"/>
  <c r="AS16" i="5"/>
  <c r="AS17" i="5"/>
  <c r="AS18" i="5"/>
  <c r="AN15" i="5"/>
  <c r="AN16" i="5"/>
  <c r="AN17" i="5"/>
  <c r="AN18" i="5"/>
  <c r="AN19" i="5"/>
  <c r="AN20" i="5"/>
  <c r="AN21" i="5"/>
  <c r="AI15" i="5"/>
  <c r="AI16" i="5"/>
  <c r="AI17" i="5"/>
  <c r="AI18" i="5"/>
  <c r="AI19" i="5"/>
  <c r="AD15" i="5"/>
  <c r="AD16" i="5"/>
  <c r="AD17" i="5"/>
  <c r="AD18" i="5"/>
  <c r="AD19" i="5"/>
  <c r="Y15" i="5"/>
  <c r="Y16" i="5"/>
  <c r="Y17" i="5"/>
  <c r="Y18" i="5"/>
  <c r="Y19" i="5"/>
  <c r="R15" i="5"/>
  <c r="R16" i="5"/>
  <c r="R17" i="5"/>
  <c r="R18" i="5"/>
  <c r="R19" i="5"/>
  <c r="O15" i="5"/>
  <c r="O16" i="5"/>
  <c r="O17" i="5"/>
  <c r="O18" i="5"/>
  <c r="L15" i="5"/>
  <c r="L16" i="5"/>
  <c r="L17" i="5"/>
  <c r="L18" i="5"/>
  <c r="L19" i="5"/>
  <c r="I15" i="5"/>
  <c r="I16" i="5"/>
  <c r="I17" i="5"/>
  <c r="I18" i="5"/>
  <c r="F15" i="5"/>
  <c r="F16" i="5"/>
  <c r="F17" i="5"/>
  <c r="F18" i="5"/>
  <c r="E18" i="5"/>
  <c r="E15" i="5"/>
  <c r="E16" i="5"/>
  <c r="D18" i="5"/>
  <c r="D15" i="5"/>
  <c r="D16" i="5"/>
  <c r="Y394" i="22" l="1"/>
  <c r="Y415" i="22"/>
  <c r="Y423" i="22"/>
  <c r="Y425" i="22" s="1"/>
  <c r="Z411" i="22"/>
  <c r="Z412" i="22" s="1"/>
  <c r="Z414" i="22" s="1"/>
  <c r="AA410" i="22"/>
  <c r="V477" i="22"/>
  <c r="V485" i="22"/>
  <c r="V487" i="22" s="1"/>
  <c r="W442" i="22"/>
  <c r="W443" i="22" s="1"/>
  <c r="W445" i="22" s="1"/>
  <c r="X441" i="22"/>
  <c r="X472" i="22"/>
  <c r="W473" i="22"/>
  <c r="W474" i="22" s="1"/>
  <c r="W476" i="22" s="1"/>
  <c r="V454" i="22"/>
  <c r="V456" i="22" s="1"/>
  <c r="V446" i="22"/>
  <c r="Y392" i="22"/>
  <c r="Y384" i="22"/>
  <c r="AA379" i="22"/>
  <c r="AA380" i="22" s="1"/>
  <c r="AA381" i="22" s="1"/>
  <c r="AA383" i="22" s="1"/>
  <c r="Z380" i="22"/>
  <c r="Z381" i="22" s="1"/>
  <c r="Z383" i="22" s="1"/>
  <c r="V353" i="22"/>
  <c r="V361" i="22"/>
  <c r="V363" i="22" s="1"/>
  <c r="X348" i="22"/>
  <c r="W349" i="22"/>
  <c r="W350" i="22" s="1"/>
  <c r="W352" i="22" s="1"/>
  <c r="N169" i="29"/>
  <c r="N64" i="5"/>
  <c r="N91" i="5"/>
  <c r="K123" i="5"/>
  <c r="K138" i="5"/>
  <c r="K134" i="5"/>
  <c r="N138" i="5"/>
  <c r="K130" i="5"/>
  <c r="N134" i="5"/>
  <c r="S160" i="5"/>
  <c r="V160" i="5" s="1"/>
  <c r="G15" i="5"/>
  <c r="H15" i="5" s="1"/>
  <c r="S65" i="5"/>
  <c r="V65" i="5" s="1"/>
  <c r="K100" i="5"/>
  <c r="K136" i="5"/>
  <c r="K146" i="5"/>
  <c r="K114" i="5"/>
  <c r="S92" i="5"/>
  <c r="T92" i="5" s="1"/>
  <c r="M68" i="5"/>
  <c r="S68" i="5" s="1"/>
  <c r="AA68" i="5" s="1"/>
  <c r="G16" i="5"/>
  <c r="H16" i="5" s="1"/>
  <c r="N68" i="5"/>
  <c r="K92" i="5"/>
  <c r="K160" i="5"/>
  <c r="K84" i="5"/>
  <c r="S18" i="6"/>
  <c r="K18" i="13" s="1"/>
  <c r="M18" i="13" s="1"/>
  <c r="T65" i="5"/>
  <c r="N22" i="6"/>
  <c r="S20" i="6"/>
  <c r="K20" i="13" s="1"/>
  <c r="L20" i="13" s="1"/>
  <c r="N18" i="6"/>
  <c r="AA64" i="5"/>
  <c r="AF64" i="5" s="1"/>
  <c r="T68" i="5"/>
  <c r="J18" i="13"/>
  <c r="T64" i="5"/>
  <c r="N21" i="6"/>
  <c r="AB112" i="6"/>
  <c r="AE112" i="6" s="1"/>
  <c r="V86" i="6"/>
  <c r="T86" i="6"/>
  <c r="AA65" i="5"/>
  <c r="AB65" i="5" s="1"/>
  <c r="S21" i="6"/>
  <c r="K21" i="13" s="1"/>
  <c r="M21" i="13" s="1"/>
  <c r="R22" i="7"/>
  <c r="W47" i="7"/>
  <c r="W22" i="7" s="1"/>
  <c r="T47" i="7"/>
  <c r="R20" i="7"/>
  <c r="W45" i="7"/>
  <c r="W20" i="7" s="1"/>
  <c r="T45" i="7"/>
  <c r="R21" i="7"/>
  <c r="T46" i="7"/>
  <c r="W46" i="7"/>
  <c r="W21" i="7" s="1"/>
  <c r="T44" i="7"/>
  <c r="W44" i="7"/>
  <c r="W19" i="7" s="1"/>
  <c r="R19" i="7"/>
  <c r="D37" i="18" s="1"/>
  <c r="V78" i="6"/>
  <c r="M22" i="13"/>
  <c r="L22" i="13"/>
  <c r="M69" i="5"/>
  <c r="K69" i="5"/>
  <c r="N158" i="5"/>
  <c r="S158" i="5"/>
  <c r="M110" i="5"/>
  <c r="K110" i="5"/>
  <c r="N154" i="5"/>
  <c r="S154" i="5"/>
  <c r="S61" i="5"/>
  <c r="N61" i="5"/>
  <c r="F58" i="18"/>
  <c r="D58" i="18"/>
  <c r="AA311" i="22"/>
  <c r="E58" i="18"/>
  <c r="D59" i="18"/>
  <c r="AD118" i="7"/>
  <c r="AI118" i="7" s="1"/>
  <c r="AO118" i="7" s="1"/>
  <c r="AA85" i="29"/>
  <c r="AB85" i="29" s="1"/>
  <c r="Z71" i="7"/>
  <c r="AA71" i="7" s="1"/>
  <c r="AC71" i="7"/>
  <c r="Y21" i="6"/>
  <c r="O21" i="13" s="1"/>
  <c r="Z120" i="7"/>
  <c r="AA120" i="7" s="1"/>
  <c r="AC120" i="7"/>
  <c r="Z143" i="7"/>
  <c r="AA143" i="7" s="1"/>
  <c r="AC143" i="7"/>
  <c r="AC152" i="7"/>
  <c r="Z95" i="7"/>
  <c r="AA95" i="7" s="1"/>
  <c r="AC95" i="7"/>
  <c r="V156" i="29"/>
  <c r="AA156" i="29"/>
  <c r="AB156" i="29" s="1"/>
  <c r="N100" i="29"/>
  <c r="N46" i="29"/>
  <c r="V85" i="29"/>
  <c r="AB44" i="5"/>
  <c r="AB43" i="5"/>
  <c r="AB41" i="5"/>
  <c r="AB42" i="5"/>
  <c r="Y160" i="6"/>
  <c r="Z171" i="6" s="1"/>
  <c r="V160" i="6"/>
  <c r="T160" i="6"/>
  <c r="Y132" i="6"/>
  <c r="T132" i="6"/>
  <c r="V132" i="6"/>
  <c r="Y137" i="6"/>
  <c r="V137" i="6"/>
  <c r="T137" i="6"/>
  <c r="Y138" i="6"/>
  <c r="Y20" i="6" s="1"/>
  <c r="O20" i="13" s="1"/>
  <c r="T138" i="6"/>
  <c r="V138" i="6"/>
  <c r="V148" i="6"/>
  <c r="Y136" i="6"/>
  <c r="Y18" i="6" s="1"/>
  <c r="O18" i="13" s="1"/>
  <c r="V136" i="6"/>
  <c r="T136" i="6"/>
  <c r="AB133" i="6"/>
  <c r="Z133" i="6"/>
  <c r="V109" i="6"/>
  <c r="T109" i="6"/>
  <c r="X119" i="7"/>
  <c r="AB116" i="6"/>
  <c r="Z116" i="6"/>
  <c r="AB110" i="6"/>
  <c r="Z110" i="6"/>
  <c r="Y91" i="6"/>
  <c r="V91" i="6"/>
  <c r="T91" i="6"/>
  <c r="X94" i="7"/>
  <c r="Z92" i="6"/>
  <c r="AB92" i="6"/>
  <c r="V62" i="6"/>
  <c r="T62" i="6"/>
  <c r="V68" i="6"/>
  <c r="T68" i="6"/>
  <c r="Y68" i="6"/>
  <c r="D157" i="13"/>
  <c r="D88" i="13"/>
  <c r="G18" i="5"/>
  <c r="E88" i="13" s="1"/>
  <c r="AE156" i="6"/>
  <c r="AC156" i="6"/>
  <c r="V171" i="6"/>
  <c r="T171" i="6"/>
  <c r="AC158" i="6"/>
  <c r="AE158" i="6"/>
  <c r="Z157" i="6"/>
  <c r="AB157" i="6"/>
  <c r="Z159" i="6"/>
  <c r="AB159" i="6"/>
  <c r="Z163" i="6"/>
  <c r="AB163" i="6"/>
  <c r="AB161" i="6"/>
  <c r="Z161" i="6"/>
  <c r="AB155" i="6"/>
  <c r="Z155" i="6"/>
  <c r="AE162" i="6"/>
  <c r="AC162" i="6"/>
  <c r="AB134" i="6"/>
  <c r="Z134" i="6"/>
  <c r="AB135" i="6"/>
  <c r="Z135" i="6"/>
  <c r="AB139" i="6"/>
  <c r="Z139" i="6"/>
  <c r="AB114" i="6"/>
  <c r="Z114" i="6"/>
  <c r="AB111" i="6"/>
  <c r="Z111" i="6"/>
  <c r="AE115" i="6"/>
  <c r="AC115" i="6"/>
  <c r="AB117" i="6"/>
  <c r="Z117" i="6"/>
  <c r="Z113" i="6"/>
  <c r="AB113" i="6"/>
  <c r="AB93" i="6"/>
  <c r="Z93" i="6"/>
  <c r="Z90" i="6"/>
  <c r="AB90" i="6"/>
  <c r="AB87" i="6"/>
  <c r="Z87" i="6"/>
  <c r="AE89" i="6"/>
  <c r="AC89" i="6"/>
  <c r="AB88" i="6"/>
  <c r="Z88" i="6"/>
  <c r="AB69" i="6"/>
  <c r="Z69" i="6"/>
  <c r="AB64" i="6"/>
  <c r="Z64" i="6"/>
  <c r="Y66" i="6"/>
  <c r="V66" i="6"/>
  <c r="T66" i="6"/>
  <c r="Z65" i="6"/>
  <c r="AB65" i="6"/>
  <c r="AB67" i="6"/>
  <c r="Z67" i="6"/>
  <c r="AB63" i="6"/>
  <c r="Z63" i="6"/>
  <c r="Z45" i="6"/>
  <c r="AB45" i="6"/>
  <c r="AB44" i="6"/>
  <c r="Z44" i="6"/>
  <c r="Z43" i="6"/>
  <c r="AB43" i="6"/>
  <c r="Z42" i="6"/>
  <c r="AB42" i="6"/>
  <c r="V22" i="6"/>
  <c r="T22" i="6"/>
  <c r="V20" i="6"/>
  <c r="V18" i="6"/>
  <c r="T18" i="6"/>
  <c r="AF158" i="29"/>
  <c r="AB158" i="29"/>
  <c r="AF154" i="29"/>
  <c r="AB154" i="29"/>
  <c r="AF157" i="29"/>
  <c r="AB157" i="29"/>
  <c r="AA159" i="29"/>
  <c r="V159" i="29"/>
  <c r="T159" i="29"/>
  <c r="AA155" i="29"/>
  <c r="V155" i="29"/>
  <c r="T155" i="29"/>
  <c r="AB160" i="29"/>
  <c r="AF160" i="29"/>
  <c r="AF161" i="29"/>
  <c r="AB161" i="29"/>
  <c r="V153" i="29"/>
  <c r="T153" i="29"/>
  <c r="AA153" i="29"/>
  <c r="V134" i="29"/>
  <c r="T134" i="29"/>
  <c r="AA134" i="29"/>
  <c r="AA132" i="29"/>
  <c r="V132" i="29"/>
  <c r="T132" i="29"/>
  <c r="AB137" i="29"/>
  <c r="AF137" i="29"/>
  <c r="AA136" i="29"/>
  <c r="V136" i="29"/>
  <c r="T136" i="29"/>
  <c r="AF135" i="29"/>
  <c r="AB135" i="29"/>
  <c r="V138" i="29"/>
  <c r="T138" i="29"/>
  <c r="AA138" i="29"/>
  <c r="AB133" i="29"/>
  <c r="AF133" i="29"/>
  <c r="AF131" i="29"/>
  <c r="AB131" i="29"/>
  <c r="N130" i="29"/>
  <c r="S130" i="29"/>
  <c r="N146" i="29"/>
  <c r="N77" i="29"/>
  <c r="S68" i="29"/>
  <c r="AA68" i="29" s="1"/>
  <c r="AB114" i="29"/>
  <c r="AF114" i="29"/>
  <c r="S107" i="29"/>
  <c r="N107" i="29"/>
  <c r="N123" i="29"/>
  <c r="AA113" i="29"/>
  <c r="V113" i="29"/>
  <c r="T113" i="29"/>
  <c r="AF108" i="29"/>
  <c r="AB108" i="29"/>
  <c r="AA110" i="29"/>
  <c r="V110" i="29"/>
  <c r="T110" i="29"/>
  <c r="V115" i="29"/>
  <c r="T115" i="29"/>
  <c r="AA115" i="29"/>
  <c r="T112" i="29"/>
  <c r="V112" i="29"/>
  <c r="AA112" i="29"/>
  <c r="AA109" i="29"/>
  <c r="V109" i="29"/>
  <c r="T109" i="29"/>
  <c r="V111" i="29"/>
  <c r="T111" i="29"/>
  <c r="AA111" i="29"/>
  <c r="S91" i="29"/>
  <c r="N91" i="29"/>
  <c r="S64" i="29"/>
  <c r="T64" i="29" s="1"/>
  <c r="S87" i="29"/>
  <c r="N87" i="29"/>
  <c r="AF89" i="29"/>
  <c r="AB89" i="29"/>
  <c r="V88" i="29"/>
  <c r="T88" i="29"/>
  <c r="AA88" i="29"/>
  <c r="T86" i="29"/>
  <c r="AA86" i="29"/>
  <c r="V86" i="29"/>
  <c r="V84" i="29"/>
  <c r="T84" i="29"/>
  <c r="AA90" i="29"/>
  <c r="V90" i="29"/>
  <c r="T90" i="29"/>
  <c r="S92" i="29"/>
  <c r="N92" i="29"/>
  <c r="T62" i="29"/>
  <c r="AA62" i="29"/>
  <c r="V62" i="29"/>
  <c r="T66" i="29"/>
  <c r="AA66" i="29"/>
  <c r="V66" i="29"/>
  <c r="V65" i="29"/>
  <c r="T65" i="29"/>
  <c r="AA65" i="29"/>
  <c r="V69" i="29"/>
  <c r="T69" i="29"/>
  <c r="AA67" i="29"/>
  <c r="V67" i="29"/>
  <c r="T67" i="29"/>
  <c r="AA63" i="29"/>
  <c r="V63" i="29"/>
  <c r="T63" i="29"/>
  <c r="V61" i="29"/>
  <c r="T61" i="29"/>
  <c r="AK44" i="29"/>
  <c r="AG44" i="29"/>
  <c r="AB45" i="29"/>
  <c r="AF45" i="29"/>
  <c r="N42" i="29"/>
  <c r="S42" i="29"/>
  <c r="AA41" i="29"/>
  <c r="T41" i="29"/>
  <c r="V41" i="29"/>
  <c r="AA39" i="29"/>
  <c r="V39" i="29"/>
  <c r="T39" i="29"/>
  <c r="AA43" i="29"/>
  <c r="V43" i="29"/>
  <c r="T43" i="29"/>
  <c r="AA40" i="29"/>
  <c r="V40" i="29"/>
  <c r="T40" i="29"/>
  <c r="V46" i="29"/>
  <c r="T46" i="29"/>
  <c r="H18" i="29"/>
  <c r="J16" i="29"/>
  <c r="K16" i="29" s="1"/>
  <c r="H15" i="29"/>
  <c r="J17" i="29"/>
  <c r="M17" i="29" s="1"/>
  <c r="M18" i="29"/>
  <c r="N18" i="29" s="1"/>
  <c r="J21" i="29"/>
  <c r="M21" i="29" s="1"/>
  <c r="J19" i="29"/>
  <c r="K19" i="29" s="1"/>
  <c r="H20" i="29"/>
  <c r="M20" i="29"/>
  <c r="K20" i="29"/>
  <c r="M15" i="29"/>
  <c r="K15" i="29"/>
  <c r="S161" i="5"/>
  <c r="N161" i="5"/>
  <c r="M156" i="5"/>
  <c r="K156" i="5"/>
  <c r="N159" i="5"/>
  <c r="S159" i="5"/>
  <c r="K169" i="5"/>
  <c r="M153" i="5"/>
  <c r="K153" i="5"/>
  <c r="N155" i="5"/>
  <c r="S155" i="5"/>
  <c r="S157" i="5"/>
  <c r="N157" i="5"/>
  <c r="AA136" i="5"/>
  <c r="V136" i="5"/>
  <c r="T136" i="5"/>
  <c r="S130" i="5"/>
  <c r="N130" i="5"/>
  <c r="S135" i="5"/>
  <c r="N135" i="5"/>
  <c r="U16" i="5"/>
  <c r="V134" i="5"/>
  <c r="T134" i="5"/>
  <c r="AA134" i="5"/>
  <c r="S131" i="5"/>
  <c r="N131" i="5"/>
  <c r="M137" i="5"/>
  <c r="K137" i="5"/>
  <c r="V138" i="5"/>
  <c r="T138" i="5"/>
  <c r="AA138" i="5"/>
  <c r="M133" i="5"/>
  <c r="K133" i="5"/>
  <c r="AA132" i="5"/>
  <c r="V132" i="5"/>
  <c r="T132" i="5"/>
  <c r="AA114" i="5"/>
  <c r="V114" i="5"/>
  <c r="T114" i="5"/>
  <c r="S111" i="5"/>
  <c r="N111" i="5"/>
  <c r="S108" i="5"/>
  <c r="N108" i="5"/>
  <c r="S115" i="5"/>
  <c r="S123" i="5" s="1"/>
  <c r="S107" i="5"/>
  <c r="N107" i="5"/>
  <c r="S112" i="5"/>
  <c r="N112" i="5"/>
  <c r="U15" i="5"/>
  <c r="N113" i="5"/>
  <c r="S113" i="5"/>
  <c r="S109" i="5"/>
  <c r="N109" i="5"/>
  <c r="U18" i="5"/>
  <c r="N90" i="5"/>
  <c r="S90" i="5"/>
  <c r="S89" i="5"/>
  <c r="N89" i="5"/>
  <c r="V92" i="5"/>
  <c r="V88" i="5"/>
  <c r="T88" i="5"/>
  <c r="AA88" i="5"/>
  <c r="V84" i="5"/>
  <c r="T84" i="5"/>
  <c r="T91" i="5"/>
  <c r="AA91" i="5"/>
  <c r="V91" i="5"/>
  <c r="AA87" i="5"/>
  <c r="T87" i="5"/>
  <c r="V87" i="5"/>
  <c r="N86" i="5"/>
  <c r="S86" i="5"/>
  <c r="S85" i="5"/>
  <c r="N85" i="5"/>
  <c r="T66" i="5"/>
  <c r="AA66" i="5"/>
  <c r="V66" i="5"/>
  <c r="M63" i="5"/>
  <c r="K63" i="5"/>
  <c r="T62" i="5"/>
  <c r="AA62" i="5"/>
  <c r="V62" i="5"/>
  <c r="AB68" i="5"/>
  <c r="AF68" i="5"/>
  <c r="K77" i="5"/>
  <c r="S67" i="5"/>
  <c r="N67" i="5"/>
  <c r="AB45" i="5"/>
  <c r="AB40" i="5"/>
  <c r="AB39" i="5"/>
  <c r="AG45" i="5"/>
  <c r="AW17" i="5"/>
  <c r="AW16" i="5"/>
  <c r="AL45" i="5"/>
  <c r="AQ45" i="5"/>
  <c r="AW18" i="5"/>
  <c r="AW15" i="5"/>
  <c r="AX45" i="5"/>
  <c r="AS21" i="5"/>
  <c r="AS22" i="5"/>
  <c r="AN22" i="5"/>
  <c r="AI21" i="5"/>
  <c r="AI22" i="5"/>
  <c r="AD22" i="5"/>
  <c r="AD21" i="5"/>
  <c r="Y21" i="5"/>
  <c r="Y22" i="5"/>
  <c r="R21" i="5"/>
  <c r="R22" i="5"/>
  <c r="O21" i="5"/>
  <c r="O22" i="5"/>
  <c r="L21" i="5"/>
  <c r="L22" i="5"/>
  <c r="I21" i="5"/>
  <c r="I22" i="5"/>
  <c r="F21" i="5"/>
  <c r="F22" i="5"/>
  <c r="E21" i="5"/>
  <c r="E22" i="5"/>
  <c r="D22" i="5"/>
  <c r="W456" i="22" l="1"/>
  <c r="W361" i="22"/>
  <c r="W353" i="22"/>
  <c r="Y348" i="22"/>
  <c r="X349" i="22"/>
  <c r="X350" i="22" s="1"/>
  <c r="X352" i="22" s="1"/>
  <c r="Y472" i="22"/>
  <c r="X473" i="22"/>
  <c r="X474" i="22" s="1"/>
  <c r="X476" i="22" s="1"/>
  <c r="W477" i="22"/>
  <c r="W485" i="22"/>
  <c r="W487" i="22" s="1"/>
  <c r="X442" i="22"/>
  <c r="X443" i="22" s="1"/>
  <c r="X445" i="22" s="1"/>
  <c r="Y441" i="22"/>
  <c r="W363" i="22"/>
  <c r="W446" i="22"/>
  <c r="W454" i="22"/>
  <c r="Z392" i="22"/>
  <c r="Z394" i="22" s="1"/>
  <c r="AA394" i="22" s="1"/>
  <c r="Z384" i="22"/>
  <c r="AA392" i="22"/>
  <c r="AA384" i="22"/>
  <c r="D386" i="22" s="1"/>
  <c r="C22" i="24" s="1"/>
  <c r="D388" i="22"/>
  <c r="D22" i="24" s="1"/>
  <c r="AA411" i="22"/>
  <c r="AA412" i="22" s="1"/>
  <c r="AA414" i="22" s="1"/>
  <c r="Z423" i="22"/>
  <c r="Z425" i="22" s="1"/>
  <c r="Z415" i="22"/>
  <c r="Z152" i="7"/>
  <c r="L18" i="13"/>
  <c r="M20" i="13"/>
  <c r="N123" i="5"/>
  <c r="T160" i="5"/>
  <c r="AA160" i="5"/>
  <c r="N100" i="5"/>
  <c r="AF65" i="5"/>
  <c r="V68" i="5"/>
  <c r="H18" i="5"/>
  <c r="J18" i="5"/>
  <c r="G88" i="13" s="1"/>
  <c r="H88" i="13" s="1"/>
  <c r="AC112" i="6"/>
  <c r="AB64" i="5"/>
  <c r="T20" i="6"/>
  <c r="L21" i="13"/>
  <c r="T21" i="6"/>
  <c r="V21" i="6"/>
  <c r="T78" i="6"/>
  <c r="X47" i="7"/>
  <c r="Z47" i="7" s="1"/>
  <c r="X46" i="7"/>
  <c r="AC46" i="7" s="1"/>
  <c r="T19" i="7"/>
  <c r="D171" i="22" s="1"/>
  <c r="D172" i="22" s="1"/>
  <c r="D173" i="22" s="1"/>
  <c r="D175" i="22" s="1"/>
  <c r="U44" i="7"/>
  <c r="D38" i="18"/>
  <c r="U45" i="7"/>
  <c r="T20" i="7"/>
  <c r="D207" i="22" s="1"/>
  <c r="D208" i="22" s="1"/>
  <c r="D209" i="22" s="1"/>
  <c r="D211" i="22" s="1"/>
  <c r="T22" i="7"/>
  <c r="D279" i="22" s="1"/>
  <c r="D280" i="22" s="1"/>
  <c r="D281" i="22" s="1"/>
  <c r="D283" i="22" s="1"/>
  <c r="U47" i="7"/>
  <c r="T21" i="7"/>
  <c r="D243" i="22" s="1"/>
  <c r="D244" i="22" s="1"/>
  <c r="D245" i="22" s="1"/>
  <c r="D247" i="22" s="1"/>
  <c r="U46" i="7"/>
  <c r="D39" i="18"/>
  <c r="D40" i="18"/>
  <c r="V100" i="5"/>
  <c r="T61" i="5"/>
  <c r="V61" i="5"/>
  <c r="T154" i="5"/>
  <c r="AA154" i="5"/>
  <c r="V154" i="5"/>
  <c r="S110" i="5"/>
  <c r="N110" i="5"/>
  <c r="T158" i="5"/>
  <c r="AA158" i="5"/>
  <c r="V158" i="5"/>
  <c r="G22" i="5"/>
  <c r="H22" i="5" s="1"/>
  <c r="F88" i="13"/>
  <c r="S69" i="5"/>
  <c r="N69" i="5"/>
  <c r="AD143" i="7"/>
  <c r="AI143" i="7" s="1"/>
  <c r="AF118" i="7"/>
  <c r="AG118" i="7" s="1"/>
  <c r="AF85" i="29"/>
  <c r="AG85" i="29" s="1"/>
  <c r="AD120" i="7"/>
  <c r="AF120" i="7" s="1"/>
  <c r="AG120" i="7" s="1"/>
  <c r="Z21" i="6"/>
  <c r="Y19" i="6"/>
  <c r="O19" i="13" s="1"/>
  <c r="Z148" i="6"/>
  <c r="AA15" i="29"/>
  <c r="V64" i="29"/>
  <c r="AA20" i="29"/>
  <c r="AJ118" i="7"/>
  <c r="AL118" i="7" s="1"/>
  <c r="AD95" i="7"/>
  <c r="AF95" i="7" s="1"/>
  <c r="AG95" i="7" s="1"/>
  <c r="P18" i="13"/>
  <c r="AB18" i="6"/>
  <c r="Q18" i="13" s="1"/>
  <c r="Z18" i="6"/>
  <c r="P20" i="13"/>
  <c r="AB20" i="6"/>
  <c r="Q20" i="13" s="1"/>
  <c r="Z20" i="6"/>
  <c r="D61" i="18"/>
  <c r="F61" i="18"/>
  <c r="AA19" i="29"/>
  <c r="AD71" i="7"/>
  <c r="P21" i="13"/>
  <c r="AB21" i="6"/>
  <c r="Q21" i="13" s="1"/>
  <c r="H61" i="18"/>
  <c r="E61" i="18"/>
  <c r="AA16" i="29"/>
  <c r="G61" i="18"/>
  <c r="Z94" i="7"/>
  <c r="AA94" i="7" s="1"/>
  <c r="AC94" i="7"/>
  <c r="AD94" i="7" s="1"/>
  <c r="Z119" i="7"/>
  <c r="AA119" i="7" s="1"/>
  <c r="AC119" i="7"/>
  <c r="AD119" i="7" s="1"/>
  <c r="AF156" i="29"/>
  <c r="AK156" i="29" s="1"/>
  <c r="V77" i="29"/>
  <c r="T68" i="29"/>
  <c r="V68" i="29"/>
  <c r="AA64" i="29"/>
  <c r="AF64" i="29" s="1"/>
  <c r="I58" i="18"/>
  <c r="I100" i="18"/>
  <c r="AB160" i="6"/>
  <c r="AC171" i="6" s="1"/>
  <c r="Z160" i="6"/>
  <c r="X142" i="7"/>
  <c r="AB138" i="6"/>
  <c r="Z138" i="6"/>
  <c r="AE133" i="6"/>
  <c r="AC133" i="6"/>
  <c r="Z137" i="6"/>
  <c r="AB137" i="6"/>
  <c r="T148" i="6"/>
  <c r="Z136" i="6"/>
  <c r="AB136" i="6"/>
  <c r="Z132" i="6"/>
  <c r="AB132" i="6"/>
  <c r="AC116" i="6"/>
  <c r="AE116" i="6"/>
  <c r="AE110" i="6"/>
  <c r="AC110" i="6"/>
  <c r="T125" i="6"/>
  <c r="V125" i="6"/>
  <c r="X93" i="7"/>
  <c r="AB91" i="6"/>
  <c r="Z91" i="6"/>
  <c r="T102" i="6"/>
  <c r="V102" i="6"/>
  <c r="AC92" i="6"/>
  <c r="AE92" i="6"/>
  <c r="X70" i="7"/>
  <c r="AB68" i="6"/>
  <c r="Z68" i="6"/>
  <c r="D158" i="13"/>
  <c r="D89" i="13"/>
  <c r="G21" i="5"/>
  <c r="E89" i="13" s="1"/>
  <c r="AE163" i="6"/>
  <c r="AC163" i="6"/>
  <c r="AE159" i="6"/>
  <c r="AC159" i="6"/>
  <c r="AH162" i="6"/>
  <c r="AF162" i="6"/>
  <c r="AE157" i="6"/>
  <c r="AC157" i="6"/>
  <c r="AE155" i="6"/>
  <c r="AC155" i="6"/>
  <c r="AH158" i="6"/>
  <c r="AF158" i="6"/>
  <c r="AE161" i="6"/>
  <c r="AC161" i="6"/>
  <c r="AH156" i="6"/>
  <c r="AF156" i="6"/>
  <c r="AC135" i="6"/>
  <c r="AE135" i="6"/>
  <c r="AE134" i="6"/>
  <c r="AC134" i="6"/>
  <c r="AE139" i="6"/>
  <c r="AC139" i="6"/>
  <c r="AE113" i="6"/>
  <c r="AC113" i="6"/>
  <c r="AH112" i="6"/>
  <c r="AF112" i="6"/>
  <c r="AE111" i="6"/>
  <c r="AC111" i="6"/>
  <c r="AE117" i="6"/>
  <c r="AC117" i="6"/>
  <c r="AF115" i="6"/>
  <c r="AH115" i="6"/>
  <c r="AP118" i="7" s="1"/>
  <c r="AR118" i="7" s="1"/>
  <c r="AC114" i="6"/>
  <c r="AE114" i="6"/>
  <c r="AE87" i="6"/>
  <c r="AC87" i="6"/>
  <c r="AE93" i="6"/>
  <c r="AC93" i="6"/>
  <c r="AE88" i="6"/>
  <c r="AC88" i="6"/>
  <c r="AC90" i="6"/>
  <c r="AE90" i="6"/>
  <c r="AH89" i="6"/>
  <c r="AF89" i="6"/>
  <c r="AE65" i="6"/>
  <c r="AC65" i="6"/>
  <c r="AE63" i="6"/>
  <c r="AC63" i="6"/>
  <c r="Z66" i="6"/>
  <c r="AB66" i="6"/>
  <c r="AE64" i="6"/>
  <c r="AC64" i="6"/>
  <c r="AC67" i="6"/>
  <c r="AE67" i="6"/>
  <c r="AE69" i="6"/>
  <c r="AC69" i="6"/>
  <c r="AE45" i="6"/>
  <c r="AC45" i="6"/>
  <c r="AE44" i="6"/>
  <c r="AC44" i="6"/>
  <c r="AE43" i="6"/>
  <c r="AC43" i="6"/>
  <c r="AE42" i="6"/>
  <c r="AC42" i="6"/>
  <c r="AF153" i="29"/>
  <c r="AB169" i="29"/>
  <c r="AB153" i="29"/>
  <c r="V169" i="29"/>
  <c r="T169" i="29"/>
  <c r="AF159" i="29"/>
  <c r="AB159" i="29"/>
  <c r="AK157" i="29"/>
  <c r="AG157" i="29"/>
  <c r="AF155" i="29"/>
  <c r="AB155" i="29"/>
  <c r="AK161" i="29"/>
  <c r="AG161" i="29"/>
  <c r="AK160" i="29"/>
  <c r="AG160" i="29"/>
  <c r="AK154" i="29"/>
  <c r="AG154" i="29"/>
  <c r="AK158" i="29"/>
  <c r="AG158" i="29"/>
  <c r="V130" i="29"/>
  <c r="T130" i="29"/>
  <c r="AA130" i="29"/>
  <c r="AF136" i="29"/>
  <c r="AB136" i="29"/>
  <c r="AK137" i="29"/>
  <c r="AG137" i="29"/>
  <c r="AK135" i="29"/>
  <c r="AG135" i="29"/>
  <c r="AK131" i="29"/>
  <c r="AG131" i="29"/>
  <c r="AK133" i="29"/>
  <c r="AG133" i="29"/>
  <c r="AF138" i="29"/>
  <c r="AB138" i="29"/>
  <c r="AF132" i="29"/>
  <c r="AB132" i="29"/>
  <c r="AF134" i="29"/>
  <c r="AB134" i="29"/>
  <c r="V100" i="29"/>
  <c r="AB110" i="29"/>
  <c r="AF110" i="29"/>
  <c r="AB111" i="29"/>
  <c r="AF111" i="29"/>
  <c r="AK108" i="29"/>
  <c r="AG108" i="29"/>
  <c r="AF109" i="29"/>
  <c r="AB109" i="29"/>
  <c r="AF112" i="29"/>
  <c r="AB112" i="29"/>
  <c r="AF113" i="29"/>
  <c r="AB113" i="29"/>
  <c r="AB115" i="29"/>
  <c r="AF115" i="29"/>
  <c r="V107" i="29"/>
  <c r="T107" i="29"/>
  <c r="AG114" i="29"/>
  <c r="AK114" i="29"/>
  <c r="AA87" i="29"/>
  <c r="AA17" i="29" s="1"/>
  <c r="V87" i="29"/>
  <c r="T87" i="29"/>
  <c r="AA91" i="29"/>
  <c r="AA21" i="29" s="1"/>
  <c r="V91" i="29"/>
  <c r="T91" i="29"/>
  <c r="AF90" i="29"/>
  <c r="AB90" i="29"/>
  <c r="AK89" i="29"/>
  <c r="AG89" i="29"/>
  <c r="V92" i="29"/>
  <c r="T92" i="29"/>
  <c r="AF86" i="29"/>
  <c r="AB86" i="29"/>
  <c r="AB88" i="29"/>
  <c r="AF88" i="29"/>
  <c r="AF66" i="29"/>
  <c r="AB66" i="29"/>
  <c r="AF63" i="29"/>
  <c r="AB63" i="29"/>
  <c r="AF67" i="29"/>
  <c r="AB67" i="29"/>
  <c r="AF62" i="29"/>
  <c r="AB62" i="29"/>
  <c r="AF65" i="29"/>
  <c r="AB65" i="29"/>
  <c r="AB68" i="29"/>
  <c r="AF68" i="29"/>
  <c r="AP44" i="29"/>
  <c r="AL44" i="29"/>
  <c r="AK45" i="29"/>
  <c r="AG45" i="29"/>
  <c r="AF43" i="29"/>
  <c r="AB43" i="29"/>
  <c r="AF40" i="29"/>
  <c r="AB40" i="29"/>
  <c r="AF39" i="29"/>
  <c r="AB39" i="29"/>
  <c r="AF41" i="29"/>
  <c r="AB41" i="29"/>
  <c r="AA42" i="29"/>
  <c r="AA18" i="29" s="1"/>
  <c r="V42" i="29"/>
  <c r="T42" i="29"/>
  <c r="K17" i="29"/>
  <c r="M16" i="29"/>
  <c r="S16" i="29" s="1"/>
  <c r="S18" i="29"/>
  <c r="T18" i="29" s="1"/>
  <c r="K21" i="29"/>
  <c r="M19" i="29"/>
  <c r="S19" i="29" s="1"/>
  <c r="S21" i="29"/>
  <c r="N21" i="29"/>
  <c r="S20" i="29"/>
  <c r="N20" i="29"/>
  <c r="S15" i="29"/>
  <c r="N15" i="29"/>
  <c r="S17" i="29"/>
  <c r="N17" i="29"/>
  <c r="AA159" i="5"/>
  <c r="V159" i="5"/>
  <c r="T159" i="5"/>
  <c r="V157" i="5"/>
  <c r="T157" i="5"/>
  <c r="AA157" i="5"/>
  <c r="S153" i="5"/>
  <c r="N153" i="5"/>
  <c r="N169" i="5"/>
  <c r="AA155" i="5"/>
  <c r="V155" i="5"/>
  <c r="T155" i="5"/>
  <c r="N156" i="5"/>
  <c r="S156" i="5"/>
  <c r="J16" i="5"/>
  <c r="M16" i="5" s="1"/>
  <c r="AB160" i="5"/>
  <c r="AF160" i="5"/>
  <c r="V161" i="5"/>
  <c r="AA161" i="5"/>
  <c r="T161" i="5"/>
  <c r="AF134" i="5"/>
  <c r="AB134" i="5"/>
  <c r="AF136" i="5"/>
  <c r="AB136" i="5"/>
  <c r="AF132" i="5"/>
  <c r="AB132" i="5"/>
  <c r="T131" i="5"/>
  <c r="AA131" i="5"/>
  <c r="V131" i="5"/>
  <c r="N133" i="5"/>
  <c r="S133" i="5"/>
  <c r="AF138" i="5"/>
  <c r="AB138" i="5"/>
  <c r="T135" i="5"/>
  <c r="AA135" i="5"/>
  <c r="V135" i="5"/>
  <c r="N146" i="5"/>
  <c r="S137" i="5"/>
  <c r="N137" i="5"/>
  <c r="V130" i="5"/>
  <c r="T130" i="5"/>
  <c r="AA130" i="5"/>
  <c r="J15" i="5"/>
  <c r="M15" i="5" s="1"/>
  <c r="V115" i="5"/>
  <c r="T115" i="5"/>
  <c r="AA115" i="5"/>
  <c r="AA123" i="5" s="1"/>
  <c r="AA109" i="5"/>
  <c r="V109" i="5"/>
  <c r="T109" i="5"/>
  <c r="AA113" i="5"/>
  <c r="V113" i="5"/>
  <c r="T113" i="5"/>
  <c r="AB114" i="5"/>
  <c r="AF114" i="5"/>
  <c r="T112" i="5"/>
  <c r="V112" i="5"/>
  <c r="AA112" i="5"/>
  <c r="T108" i="5"/>
  <c r="AA108" i="5"/>
  <c r="V108" i="5"/>
  <c r="V111" i="5"/>
  <c r="T111" i="5"/>
  <c r="AA111" i="5"/>
  <c r="V107" i="5"/>
  <c r="T107" i="5"/>
  <c r="AF88" i="5"/>
  <c r="AB88" i="5"/>
  <c r="AA86" i="5"/>
  <c r="V86" i="5"/>
  <c r="T86" i="5"/>
  <c r="AB87" i="5"/>
  <c r="AF87" i="5"/>
  <c r="AB91" i="5"/>
  <c r="AF91" i="5"/>
  <c r="T89" i="5"/>
  <c r="AA89" i="5"/>
  <c r="V89" i="5"/>
  <c r="AA90" i="5"/>
  <c r="V90" i="5"/>
  <c r="T90" i="5"/>
  <c r="T85" i="5"/>
  <c r="AA85" i="5"/>
  <c r="V85" i="5"/>
  <c r="AB66" i="5"/>
  <c r="AF66" i="5"/>
  <c r="AK68" i="5"/>
  <c r="AG68" i="5"/>
  <c r="AK64" i="5"/>
  <c r="AG64" i="5"/>
  <c r="AB62" i="5"/>
  <c r="AF62" i="5"/>
  <c r="AG65" i="5"/>
  <c r="AK65" i="5"/>
  <c r="U22" i="5"/>
  <c r="V67" i="5"/>
  <c r="T67" i="5"/>
  <c r="AA67" i="5"/>
  <c r="S63" i="5"/>
  <c r="N63" i="5"/>
  <c r="N77" i="5"/>
  <c r="K18" i="5"/>
  <c r="U21" i="5"/>
  <c r="AW21" i="5"/>
  <c r="E14" i="30"/>
  <c r="H38" i="27"/>
  <c r="G38" i="27"/>
  <c r="F38" i="27"/>
  <c r="F12" i="30"/>
  <c r="AA423" i="22" l="1"/>
  <c r="AA425" i="22" s="1"/>
  <c r="AA415" i="22"/>
  <c r="D417" i="22" s="1"/>
  <c r="C23" i="24" s="1"/>
  <c r="D419" i="22"/>
  <c r="D23" i="24" s="1"/>
  <c r="X446" i="22"/>
  <c r="X454" i="22"/>
  <c r="X485" i="22"/>
  <c r="X487" i="22" s="1"/>
  <c r="X477" i="22"/>
  <c r="Z472" i="22"/>
  <c r="Y473" i="22"/>
  <c r="Y474" i="22" s="1"/>
  <c r="Y476" i="22" s="1"/>
  <c r="Y442" i="22"/>
  <c r="Y443" i="22" s="1"/>
  <c r="Y445" i="22" s="1"/>
  <c r="Z441" i="22"/>
  <c r="X353" i="22"/>
  <c r="X361" i="22"/>
  <c r="X363" i="22" s="1"/>
  <c r="Z348" i="22"/>
  <c r="Y349" i="22"/>
  <c r="Y350" i="22" s="1"/>
  <c r="Y352" i="22" s="1"/>
  <c r="X456" i="22"/>
  <c r="AI152" i="7"/>
  <c r="AD152" i="7"/>
  <c r="H17" i="27"/>
  <c r="H28" i="27" s="1"/>
  <c r="H49" i="27"/>
  <c r="G17" i="27"/>
  <c r="G28" i="27" s="1"/>
  <c r="G49" i="27"/>
  <c r="F17" i="27"/>
  <c r="F28" i="27" s="1"/>
  <c r="F49" i="27"/>
  <c r="M18" i="5"/>
  <c r="I88" i="13" s="1"/>
  <c r="J88" i="13" s="1"/>
  <c r="H21" i="5"/>
  <c r="T100" i="5"/>
  <c r="I17" i="27"/>
  <c r="G200" i="22"/>
  <c r="G17" i="18"/>
  <c r="AC47" i="7"/>
  <c r="AD47" i="7" s="1"/>
  <c r="Z46" i="7"/>
  <c r="AA46" i="7" s="1"/>
  <c r="AK85" i="29"/>
  <c r="AL85" i="29" s="1"/>
  <c r="AM118" i="7"/>
  <c r="D212" i="22"/>
  <c r="D220" i="22"/>
  <c r="D222" i="22" s="1"/>
  <c r="D248" i="22"/>
  <c r="D256" i="22"/>
  <c r="D258" i="22" s="1"/>
  <c r="D284" i="22"/>
  <c r="D292" i="22"/>
  <c r="D294" i="22" s="1"/>
  <c r="D184" i="22"/>
  <c r="D186" i="22" s="1"/>
  <c r="D176" i="22"/>
  <c r="AF158" i="5"/>
  <c r="AB158" i="5"/>
  <c r="AA110" i="5"/>
  <c r="V110" i="5"/>
  <c r="T110" i="5"/>
  <c r="AB154" i="5"/>
  <c r="AF154" i="5"/>
  <c r="V69" i="5"/>
  <c r="T69" i="5"/>
  <c r="AF143" i="7"/>
  <c r="AG143" i="7" s="1"/>
  <c r="AI120" i="7"/>
  <c r="AO120" i="7" s="1"/>
  <c r="AF15" i="29"/>
  <c r="AB64" i="29"/>
  <c r="AF19" i="29"/>
  <c r="AJ143" i="7"/>
  <c r="AL143" i="7" s="1"/>
  <c r="I101" i="18"/>
  <c r="AI95" i="7"/>
  <c r="AJ95" i="7" s="1"/>
  <c r="AF16" i="29"/>
  <c r="AF94" i="7"/>
  <c r="AG94" i="7" s="1"/>
  <c r="AI94" i="7"/>
  <c r="AJ94" i="7" s="1"/>
  <c r="Z70" i="7"/>
  <c r="AA70" i="7" s="1"/>
  <c r="AC70" i="7"/>
  <c r="AD70" i="7" s="1"/>
  <c r="AA47" i="7"/>
  <c r="AF71" i="7"/>
  <c r="AG71" i="7" s="1"/>
  <c r="AI71" i="7"/>
  <c r="AJ71" i="7" s="1"/>
  <c r="AE18" i="6"/>
  <c r="R18" i="13"/>
  <c r="AC18" i="6"/>
  <c r="AF20" i="29"/>
  <c r="AJ152" i="7"/>
  <c r="Z93" i="7"/>
  <c r="AA93" i="7" s="1"/>
  <c r="AC93" i="7"/>
  <c r="AD93" i="7" s="1"/>
  <c r="AF119" i="7"/>
  <c r="AG119" i="7" s="1"/>
  <c r="AI119" i="7"/>
  <c r="AO119" i="7" s="1"/>
  <c r="Z142" i="7"/>
  <c r="AA142" i="7" s="1"/>
  <c r="AC142" i="7"/>
  <c r="AD142" i="7" s="1"/>
  <c r="AD46" i="7"/>
  <c r="AE21" i="6"/>
  <c r="AC21" i="6"/>
  <c r="R21" i="13"/>
  <c r="AE20" i="6"/>
  <c r="R20" i="13"/>
  <c r="AC20" i="6"/>
  <c r="AG156" i="29"/>
  <c r="T77" i="29"/>
  <c r="F89" i="13"/>
  <c r="AE160" i="6"/>
  <c r="AC160" i="6"/>
  <c r="AC137" i="6"/>
  <c r="AE137" i="6"/>
  <c r="AF133" i="6"/>
  <c r="AH133" i="6"/>
  <c r="AE132" i="6"/>
  <c r="AC132" i="6"/>
  <c r="AC148" i="6"/>
  <c r="AE136" i="6"/>
  <c r="AC136" i="6"/>
  <c r="AE138" i="6"/>
  <c r="AC138" i="6"/>
  <c r="AH110" i="6"/>
  <c r="AF110" i="6"/>
  <c r="AS118" i="7"/>
  <c r="AU118" i="7"/>
  <c r="AH116" i="6"/>
  <c r="AF116" i="6"/>
  <c r="AT118" i="7"/>
  <c r="AC91" i="6"/>
  <c r="AE91" i="6"/>
  <c r="AF92" i="6"/>
  <c r="AH92" i="6"/>
  <c r="AE68" i="6"/>
  <c r="AC68" i="6"/>
  <c r="K16" i="5"/>
  <c r="I38" i="27"/>
  <c r="AK158" i="6"/>
  <c r="AI158" i="6"/>
  <c r="AF155" i="6"/>
  <c r="AH155" i="6"/>
  <c r="AH157" i="6"/>
  <c r="AF157" i="6"/>
  <c r="AI156" i="6"/>
  <c r="AK156" i="6"/>
  <c r="AI162" i="6"/>
  <c r="AK162" i="6"/>
  <c r="AF161" i="6"/>
  <c r="AH161" i="6"/>
  <c r="AF159" i="6"/>
  <c r="AH159" i="6"/>
  <c r="AH163" i="6"/>
  <c r="AF163" i="6"/>
  <c r="AH139" i="6"/>
  <c r="AF139" i="6"/>
  <c r="AH134" i="6"/>
  <c r="AF134" i="6"/>
  <c r="AH135" i="6"/>
  <c r="AF135" i="6"/>
  <c r="AH117" i="6"/>
  <c r="AF117" i="6"/>
  <c r="AK112" i="6"/>
  <c r="AI112" i="6"/>
  <c r="AH114" i="6"/>
  <c r="AF114" i="6"/>
  <c r="AH111" i="6"/>
  <c r="AF111" i="6"/>
  <c r="AH113" i="6"/>
  <c r="AF113" i="6"/>
  <c r="AI115" i="6"/>
  <c r="AK115" i="6"/>
  <c r="AH88" i="6"/>
  <c r="AF88" i="6"/>
  <c r="AH93" i="6"/>
  <c r="AF93" i="6"/>
  <c r="AH87" i="6"/>
  <c r="AF87" i="6"/>
  <c r="AH90" i="6"/>
  <c r="AF90" i="6"/>
  <c r="AK89" i="6"/>
  <c r="AI89" i="6"/>
  <c r="AC66" i="6"/>
  <c r="AE66" i="6"/>
  <c r="AH69" i="6"/>
  <c r="AF69" i="6"/>
  <c r="AF67" i="6"/>
  <c r="AH67" i="6"/>
  <c r="AH64" i="6"/>
  <c r="AF64" i="6"/>
  <c r="AH63" i="6"/>
  <c r="AF63" i="6"/>
  <c r="AH65" i="6"/>
  <c r="AF65" i="6"/>
  <c r="AH45" i="6"/>
  <c r="AF45" i="6"/>
  <c r="AH44" i="6"/>
  <c r="AF44" i="6"/>
  <c r="AH43" i="6"/>
  <c r="AF43" i="6"/>
  <c r="AH42" i="6"/>
  <c r="AF42" i="6"/>
  <c r="AP156" i="29"/>
  <c r="AL156" i="29"/>
  <c r="AG155" i="29"/>
  <c r="AK155" i="29"/>
  <c r="AL158" i="29"/>
  <c r="AP158" i="29"/>
  <c r="AP157" i="29"/>
  <c r="AL157" i="29"/>
  <c r="AL154" i="29"/>
  <c r="AP154" i="29"/>
  <c r="AG159" i="29"/>
  <c r="AK159" i="29"/>
  <c r="AP160" i="29"/>
  <c r="AL160" i="29"/>
  <c r="AP161" i="29"/>
  <c r="AL161" i="29"/>
  <c r="AK153" i="29"/>
  <c r="AG169" i="29"/>
  <c r="AG153" i="29"/>
  <c r="T100" i="29"/>
  <c r="AL131" i="29"/>
  <c r="AP131" i="29"/>
  <c r="AL135" i="29"/>
  <c r="AP135" i="29"/>
  <c r="AP137" i="29"/>
  <c r="AL137" i="29"/>
  <c r="AK134" i="29"/>
  <c r="AG134" i="29"/>
  <c r="AG132" i="29"/>
  <c r="AK132" i="29"/>
  <c r="AG136" i="29"/>
  <c r="AK136" i="29"/>
  <c r="AF130" i="29"/>
  <c r="AB146" i="29"/>
  <c r="AB130" i="29"/>
  <c r="AK138" i="29"/>
  <c r="AG138" i="29"/>
  <c r="V146" i="29"/>
  <c r="T146" i="29"/>
  <c r="AP133" i="29"/>
  <c r="AL133" i="29"/>
  <c r="AK115" i="29"/>
  <c r="AG115" i="29"/>
  <c r="AG110" i="29"/>
  <c r="AK110" i="29"/>
  <c r="AK112" i="29"/>
  <c r="AG112" i="29"/>
  <c r="AP114" i="29"/>
  <c r="AL114" i="29"/>
  <c r="AG113" i="29"/>
  <c r="AK113" i="29"/>
  <c r="AG109" i="29"/>
  <c r="AK109" i="29"/>
  <c r="V123" i="29"/>
  <c r="T123" i="29"/>
  <c r="AL108" i="29"/>
  <c r="AP108" i="29"/>
  <c r="AK111" i="29"/>
  <c r="AG111" i="29"/>
  <c r="AB91" i="29"/>
  <c r="AF91" i="29"/>
  <c r="AF21" i="29" s="1"/>
  <c r="AG21" i="29" s="1"/>
  <c r="AF87" i="29"/>
  <c r="AF17" i="29" s="1"/>
  <c r="AB87" i="29"/>
  <c r="AG90" i="29"/>
  <c r="AK90" i="29"/>
  <c r="AK88" i="29"/>
  <c r="AG88" i="29"/>
  <c r="AG86" i="29"/>
  <c r="AK86" i="29"/>
  <c r="AL89" i="29"/>
  <c r="AP89" i="29"/>
  <c r="AK62" i="29"/>
  <c r="AG62" i="29"/>
  <c r="AG64" i="29"/>
  <c r="AK64" i="29"/>
  <c r="AK65" i="29"/>
  <c r="AG65" i="29"/>
  <c r="AG67" i="29"/>
  <c r="AK67" i="29"/>
  <c r="AK68" i="29"/>
  <c r="AG68" i="29"/>
  <c r="AG63" i="29"/>
  <c r="AK63" i="29"/>
  <c r="AK66" i="29"/>
  <c r="AG66" i="29"/>
  <c r="AU44" i="29"/>
  <c r="AQ44" i="29"/>
  <c r="AP45" i="29"/>
  <c r="AL45" i="29"/>
  <c r="AF42" i="29"/>
  <c r="AF18" i="29" s="1"/>
  <c r="AB42" i="29"/>
  <c r="AG41" i="29"/>
  <c r="AK41" i="29"/>
  <c r="AK39" i="29"/>
  <c r="AG39" i="29"/>
  <c r="AK40" i="29"/>
  <c r="AG40" i="29"/>
  <c r="AK43" i="29"/>
  <c r="AG43" i="29"/>
  <c r="V18" i="29"/>
  <c r="N16" i="29"/>
  <c r="N19" i="29"/>
  <c r="V19" i="29"/>
  <c r="T19" i="29"/>
  <c r="T15" i="29"/>
  <c r="V15" i="29"/>
  <c r="V20" i="29"/>
  <c r="T20" i="29"/>
  <c r="T21" i="29"/>
  <c r="V21" i="29"/>
  <c r="AB21" i="29"/>
  <c r="V17" i="29"/>
  <c r="T17" i="29"/>
  <c r="V16" i="29"/>
  <c r="T16" i="29"/>
  <c r="AF155" i="5"/>
  <c r="AB155" i="5"/>
  <c r="K15" i="5"/>
  <c r="V153" i="5"/>
  <c r="T153" i="5"/>
  <c r="AA153" i="5"/>
  <c r="AF161" i="5"/>
  <c r="AB161" i="5"/>
  <c r="AK160" i="5"/>
  <c r="AG160" i="5"/>
  <c r="AA156" i="5"/>
  <c r="V156" i="5"/>
  <c r="T156" i="5"/>
  <c r="AF157" i="5"/>
  <c r="AB157" i="5"/>
  <c r="AF159" i="5"/>
  <c r="AB159" i="5"/>
  <c r="AK134" i="5"/>
  <c r="AG134" i="5"/>
  <c r="AK138" i="5"/>
  <c r="AG138" i="5"/>
  <c r="AA133" i="5"/>
  <c r="V133" i="5"/>
  <c r="T133" i="5"/>
  <c r="AF130" i="5"/>
  <c r="AB130" i="5"/>
  <c r="AF131" i="5"/>
  <c r="AB131" i="5"/>
  <c r="AA137" i="5"/>
  <c r="V137" i="5"/>
  <c r="T137" i="5"/>
  <c r="AG132" i="5"/>
  <c r="AK132" i="5"/>
  <c r="J21" i="5"/>
  <c r="M21" i="5" s="1"/>
  <c r="AF135" i="5"/>
  <c r="AB135" i="5"/>
  <c r="AG136" i="5"/>
  <c r="AK136" i="5"/>
  <c r="AK114" i="5"/>
  <c r="AG114" i="5"/>
  <c r="AF111" i="5"/>
  <c r="AB111" i="5"/>
  <c r="V123" i="5"/>
  <c r="T123" i="5"/>
  <c r="AF113" i="5"/>
  <c r="AB113" i="5"/>
  <c r="AF108" i="5"/>
  <c r="AB108" i="5"/>
  <c r="AF112" i="5"/>
  <c r="AB112" i="5"/>
  <c r="AF109" i="5"/>
  <c r="AB109" i="5"/>
  <c r="J22" i="5"/>
  <c r="K22" i="5" s="1"/>
  <c r="AF115" i="5"/>
  <c r="AF123" i="5" s="1"/>
  <c r="AB115" i="5"/>
  <c r="AF90" i="5"/>
  <c r="AB90" i="5"/>
  <c r="AK87" i="5"/>
  <c r="AG87" i="5"/>
  <c r="AF86" i="5"/>
  <c r="AB86" i="5"/>
  <c r="AF89" i="5"/>
  <c r="AB89" i="5"/>
  <c r="AK88" i="5"/>
  <c r="AG88" i="5"/>
  <c r="AF85" i="5"/>
  <c r="AB85" i="5"/>
  <c r="AK91" i="5"/>
  <c r="AG91" i="5"/>
  <c r="V63" i="5"/>
  <c r="AA63" i="5"/>
  <c r="T63" i="5"/>
  <c r="AB67" i="5"/>
  <c r="AF67" i="5"/>
  <c r="S15" i="5"/>
  <c r="N15" i="5"/>
  <c r="AL68" i="5"/>
  <c r="AP68" i="5"/>
  <c r="S16" i="5"/>
  <c r="N16" i="5"/>
  <c r="AP65" i="5"/>
  <c r="AL65" i="5"/>
  <c r="AP64" i="5"/>
  <c r="AL64" i="5"/>
  <c r="AK66" i="5"/>
  <c r="AG66" i="5"/>
  <c r="N18" i="5"/>
  <c r="S18" i="5"/>
  <c r="K88" i="13" s="1"/>
  <c r="AK62" i="5"/>
  <c r="AG62" i="5"/>
  <c r="AM184" i="4"/>
  <c r="U184" i="4"/>
  <c r="G184" i="4"/>
  <c r="J184" i="4" s="1"/>
  <c r="AM181" i="4"/>
  <c r="U181" i="4"/>
  <c r="G181" i="4"/>
  <c r="J181" i="4" s="1"/>
  <c r="AM182" i="4"/>
  <c r="U182" i="4"/>
  <c r="G182" i="4"/>
  <c r="J182" i="4" s="1"/>
  <c r="AM180" i="4"/>
  <c r="U180" i="4"/>
  <c r="G180" i="4"/>
  <c r="J180" i="4" s="1"/>
  <c r="AM183" i="4"/>
  <c r="U183" i="4"/>
  <c r="G183" i="4"/>
  <c r="J183" i="4" s="1"/>
  <c r="G176" i="4"/>
  <c r="U176" i="4"/>
  <c r="AM176" i="4"/>
  <c r="G177" i="4"/>
  <c r="H177" i="4" s="1"/>
  <c r="U177" i="4"/>
  <c r="AM177" i="4"/>
  <c r="G178" i="4"/>
  <c r="J178" i="4" s="1"/>
  <c r="K178" i="4" s="1"/>
  <c r="U178" i="4"/>
  <c r="AM178" i="4"/>
  <c r="G179" i="4"/>
  <c r="H179" i="4" s="1"/>
  <c r="U179" i="4"/>
  <c r="AM179" i="4"/>
  <c r="AM161" i="4"/>
  <c r="U161" i="4"/>
  <c r="G161" i="4"/>
  <c r="J161" i="4" s="1"/>
  <c r="AM160" i="4"/>
  <c r="U160" i="4"/>
  <c r="G160" i="4"/>
  <c r="J160" i="4" s="1"/>
  <c r="AM159" i="4"/>
  <c r="U159" i="4"/>
  <c r="G159" i="4"/>
  <c r="J159" i="4" s="1"/>
  <c r="AM158" i="4"/>
  <c r="U158" i="4"/>
  <c r="G158" i="4"/>
  <c r="J158" i="4" s="1"/>
  <c r="AM157" i="4"/>
  <c r="U157" i="4"/>
  <c r="G157" i="4"/>
  <c r="J157" i="4" s="1"/>
  <c r="AM138" i="4"/>
  <c r="U138" i="4"/>
  <c r="G138" i="4"/>
  <c r="J138" i="4" s="1"/>
  <c r="AM137" i="4"/>
  <c r="U137" i="4"/>
  <c r="G137" i="4"/>
  <c r="J137" i="4" s="1"/>
  <c r="AM136" i="4"/>
  <c r="U136" i="4"/>
  <c r="G136" i="4"/>
  <c r="J136" i="4" s="1"/>
  <c r="AM135" i="4"/>
  <c r="U135" i="4"/>
  <c r="G135" i="4"/>
  <c r="J135" i="4" s="1"/>
  <c r="AM134" i="4"/>
  <c r="U134" i="4"/>
  <c r="G134" i="4"/>
  <c r="H134" i="4" s="1"/>
  <c r="G108" i="4"/>
  <c r="G109" i="4"/>
  <c r="H109" i="4" s="1"/>
  <c r="G110" i="4"/>
  <c r="J110" i="4" s="1"/>
  <c r="G111" i="4"/>
  <c r="J111" i="4" s="1"/>
  <c r="G112" i="4"/>
  <c r="J112" i="4" s="1"/>
  <c r="G113" i="4"/>
  <c r="J113" i="4" s="1"/>
  <c r="G114" i="4"/>
  <c r="H114" i="4" s="1"/>
  <c r="G115" i="4"/>
  <c r="J115" i="4" s="1"/>
  <c r="U114" i="4"/>
  <c r="AM114" i="4"/>
  <c r="U115" i="4"/>
  <c r="AM115" i="4"/>
  <c r="AM112" i="4"/>
  <c r="U112" i="4"/>
  <c r="AM111" i="4"/>
  <c r="U111" i="4"/>
  <c r="AM110" i="4"/>
  <c r="U110" i="4"/>
  <c r="AM113" i="4"/>
  <c r="U113" i="4"/>
  <c r="U109" i="4"/>
  <c r="AM109" i="4"/>
  <c r="AM88" i="4"/>
  <c r="U88" i="4"/>
  <c r="G88" i="4"/>
  <c r="H88" i="4" s="1"/>
  <c r="AM89" i="4"/>
  <c r="U89" i="4"/>
  <c r="G89" i="4"/>
  <c r="J89" i="4" s="1"/>
  <c r="M89" i="4" s="1"/>
  <c r="AM90" i="4"/>
  <c r="U90" i="4"/>
  <c r="G90" i="4"/>
  <c r="J90" i="4" s="1"/>
  <c r="AM91" i="4"/>
  <c r="U91" i="4"/>
  <c r="G91" i="4"/>
  <c r="J91" i="4" s="1"/>
  <c r="M91" i="4" s="1"/>
  <c r="AM87" i="4"/>
  <c r="U87" i="4"/>
  <c r="G87" i="4"/>
  <c r="J87" i="4" s="1"/>
  <c r="M87" i="4" s="1"/>
  <c r="AM65" i="4"/>
  <c r="U65" i="4"/>
  <c r="G65" i="4"/>
  <c r="J65" i="4" s="1"/>
  <c r="AM64" i="4"/>
  <c r="U64" i="4"/>
  <c r="G64" i="4"/>
  <c r="J64" i="4" s="1"/>
  <c r="AM66" i="4"/>
  <c r="U66" i="4"/>
  <c r="G66" i="4"/>
  <c r="J66" i="4" s="1"/>
  <c r="AM67" i="4"/>
  <c r="U67" i="4"/>
  <c r="G67" i="4"/>
  <c r="J67" i="4" s="1"/>
  <c r="AM68" i="4"/>
  <c r="U68" i="4"/>
  <c r="G68" i="4"/>
  <c r="J68" i="4" s="1"/>
  <c r="AM44" i="4"/>
  <c r="U44" i="4"/>
  <c r="G44" i="4"/>
  <c r="AM42" i="4"/>
  <c r="U42" i="4"/>
  <c r="G42" i="4"/>
  <c r="AM43" i="4"/>
  <c r="U43" i="4"/>
  <c r="G43" i="4"/>
  <c r="AM41" i="4"/>
  <c r="U41" i="4"/>
  <c r="G41" i="4"/>
  <c r="J41" i="4" s="1"/>
  <c r="AM45" i="4"/>
  <c r="U45" i="4"/>
  <c r="G45" i="4"/>
  <c r="J45" i="4" s="1"/>
  <c r="AM21" i="4"/>
  <c r="U21" i="4"/>
  <c r="G21" i="4"/>
  <c r="H21" i="4" s="1"/>
  <c r="AM20" i="4"/>
  <c r="U20" i="4"/>
  <c r="G20" i="4"/>
  <c r="AM19" i="4"/>
  <c r="U19" i="4"/>
  <c r="G19" i="4"/>
  <c r="AM18" i="4"/>
  <c r="U18" i="4"/>
  <c r="G18" i="4"/>
  <c r="AM17" i="4"/>
  <c r="U17" i="4"/>
  <c r="G17" i="4"/>
  <c r="J17" i="4" s="1"/>
  <c r="J261" i="26"/>
  <c r="J262" i="26"/>
  <c r="J263" i="26"/>
  <c r="J264" i="26"/>
  <c r="J265" i="26"/>
  <c r="I238" i="26"/>
  <c r="G127" i="12" s="1"/>
  <c r="I239" i="26"/>
  <c r="G128" i="12" s="1"/>
  <c r="I240" i="26"/>
  <c r="G129" i="12" s="1"/>
  <c r="I241" i="26"/>
  <c r="G130" i="12" s="1"/>
  <c r="I242" i="26"/>
  <c r="G131" i="12" s="1"/>
  <c r="I218" i="26"/>
  <c r="I219" i="26"/>
  <c r="I220" i="26"/>
  <c r="I221" i="26"/>
  <c r="I222" i="26"/>
  <c r="X140" i="7" s="1"/>
  <c r="I198" i="26"/>
  <c r="I199" i="26"/>
  <c r="I200" i="26"/>
  <c r="I201" i="26"/>
  <c r="I202" i="26"/>
  <c r="I178" i="26"/>
  <c r="I179" i="26"/>
  <c r="I180" i="26"/>
  <c r="I181" i="26"/>
  <c r="I182" i="26"/>
  <c r="I158" i="26"/>
  <c r="I159" i="26"/>
  <c r="I160" i="26"/>
  <c r="I161" i="26"/>
  <c r="I162" i="26"/>
  <c r="X68" i="7" s="1"/>
  <c r="I138" i="26"/>
  <c r="I139" i="26"/>
  <c r="I140" i="26"/>
  <c r="I141" i="26"/>
  <c r="I142" i="26"/>
  <c r="I23" i="22"/>
  <c r="Z442" i="22" l="1"/>
  <c r="Z443" i="22" s="1"/>
  <c r="Z445" i="22" s="1"/>
  <c r="AA441" i="22"/>
  <c r="Y454" i="22"/>
  <c r="Y446" i="22"/>
  <c r="Y477" i="22"/>
  <c r="Y485" i="22"/>
  <c r="Y487" i="22" s="1"/>
  <c r="AA472" i="22"/>
  <c r="AA473" i="22" s="1"/>
  <c r="AA474" i="22" s="1"/>
  <c r="AA476" i="22" s="1"/>
  <c r="Z473" i="22"/>
  <c r="Z474" i="22" s="1"/>
  <c r="Z476" i="22" s="1"/>
  <c r="Y456" i="22"/>
  <c r="Y353" i="22"/>
  <c r="Y361" i="22"/>
  <c r="Y363" i="22" s="1"/>
  <c r="AA348" i="22"/>
  <c r="AA349" i="22" s="1"/>
  <c r="AA350" i="22" s="1"/>
  <c r="AA352" i="22" s="1"/>
  <c r="Z349" i="22"/>
  <c r="Z350" i="22" s="1"/>
  <c r="Z352" i="22" s="1"/>
  <c r="AF152" i="7"/>
  <c r="G59" i="18"/>
  <c r="F59" i="18"/>
  <c r="F17" i="18"/>
  <c r="H17" i="18"/>
  <c r="H59" i="18"/>
  <c r="H200" i="22"/>
  <c r="H203" i="22" s="1"/>
  <c r="F200" i="22"/>
  <c r="F203" i="22" s="1"/>
  <c r="G221" i="22"/>
  <c r="G203" i="22"/>
  <c r="AP85" i="29"/>
  <c r="AU85" i="29" s="1"/>
  <c r="AK15" i="29"/>
  <c r="AM143" i="7"/>
  <c r="AK154" i="5"/>
  <c r="AG154" i="5"/>
  <c r="AB110" i="5"/>
  <c r="AF110" i="5"/>
  <c r="AK158" i="5"/>
  <c r="AG158" i="5"/>
  <c r="AP120" i="7"/>
  <c r="AR120" i="7" s="1"/>
  <c r="AU120" i="7" s="1"/>
  <c r="AJ120" i="7"/>
  <c r="AL120" i="7" s="1"/>
  <c r="AM120" i="7" s="1"/>
  <c r="AH163" i="7"/>
  <c r="AH18" i="7" s="1"/>
  <c r="AN163" i="7"/>
  <c r="AN18" i="7" s="1"/>
  <c r="AB163" i="7"/>
  <c r="AB18" i="7" s="1"/>
  <c r="V163" i="7"/>
  <c r="V18" i="7" s="1"/>
  <c r="AO143" i="7"/>
  <c r="AP143" i="7" s="1"/>
  <c r="AR143" i="7" s="1"/>
  <c r="AT143" i="7" s="1"/>
  <c r="AK19" i="29"/>
  <c r="AO95" i="7"/>
  <c r="AP95" i="7" s="1"/>
  <c r="AR95" i="7" s="1"/>
  <c r="AU95" i="7" s="1"/>
  <c r="AL95" i="7"/>
  <c r="AM95" i="7" s="1"/>
  <c r="AL94" i="7"/>
  <c r="AM94" i="7" s="1"/>
  <c r="AO94" i="7"/>
  <c r="AP94" i="7" s="1"/>
  <c r="AR94" i="7" s="1"/>
  <c r="AL71" i="7"/>
  <c r="AM71" i="7" s="1"/>
  <c r="AO71" i="7"/>
  <c r="AP71" i="7" s="1"/>
  <c r="AR71" i="7" s="1"/>
  <c r="AU71" i="7" s="1"/>
  <c r="Z68" i="7"/>
  <c r="AA68" i="7" s="1"/>
  <c r="AC68" i="7"/>
  <c r="AD68" i="7" s="1"/>
  <c r="AF70" i="7"/>
  <c r="AG70" i="7" s="1"/>
  <c r="AI70" i="7"/>
  <c r="AJ70" i="7" s="1"/>
  <c r="V166" i="7"/>
  <c r="AN166" i="7"/>
  <c r="AN21" i="7" s="1"/>
  <c r="AH166" i="7"/>
  <c r="AB166" i="7"/>
  <c r="AB146" i="5"/>
  <c r="AK20" i="29"/>
  <c r="S20" i="13"/>
  <c r="T20" i="13" s="1"/>
  <c r="AH20" i="6"/>
  <c r="AF20" i="6"/>
  <c r="V167" i="7"/>
  <c r="AN167" i="7"/>
  <c r="AH167" i="7"/>
  <c r="AB167" i="7"/>
  <c r="AN165" i="7"/>
  <c r="AN20" i="7" s="1"/>
  <c r="AH165" i="7"/>
  <c r="AH20" i="7" s="1"/>
  <c r="AB165" i="7"/>
  <c r="V165" i="7"/>
  <c r="AF47" i="7"/>
  <c r="AI47" i="7"/>
  <c r="AF18" i="6"/>
  <c r="S18" i="13"/>
  <c r="T18" i="13" s="1"/>
  <c r="AH18" i="6"/>
  <c r="AF46" i="7"/>
  <c r="AI46" i="7"/>
  <c r="Z140" i="7"/>
  <c r="AA140" i="7" s="1"/>
  <c r="AC140" i="7"/>
  <c r="AD140" i="7" s="1"/>
  <c r="AH164" i="7"/>
  <c r="AB164" i="7"/>
  <c r="AN164" i="7"/>
  <c r="AN19" i="7" s="1"/>
  <c r="V164" i="7"/>
  <c r="AK16" i="29"/>
  <c r="AF93" i="7"/>
  <c r="AG93" i="7" s="1"/>
  <c r="AI93" i="7"/>
  <c r="AJ93" i="7" s="1"/>
  <c r="AJ119" i="7"/>
  <c r="AL119" i="7" s="1"/>
  <c r="AM119" i="7" s="1"/>
  <c r="AF142" i="7"/>
  <c r="AG142" i="7" s="1"/>
  <c r="AI142" i="7"/>
  <c r="AJ142" i="7" s="1"/>
  <c r="S21" i="13"/>
  <c r="T21" i="13" s="1"/>
  <c r="AH21" i="6"/>
  <c r="AF21" i="6"/>
  <c r="X44" i="7"/>
  <c r="X116" i="7"/>
  <c r="AH160" i="6"/>
  <c r="AF160" i="6"/>
  <c r="AF171" i="6"/>
  <c r="AF132" i="6"/>
  <c r="AH132" i="6"/>
  <c r="AI133" i="6"/>
  <c r="AK133" i="6"/>
  <c r="AF138" i="6"/>
  <c r="AH138" i="6"/>
  <c r="AF148" i="6"/>
  <c r="AH137" i="6"/>
  <c r="AF137" i="6"/>
  <c r="AF136" i="6"/>
  <c r="AH136" i="6"/>
  <c r="AP119" i="7"/>
  <c r="AR119" i="7" s="1"/>
  <c r="AI116" i="6"/>
  <c r="AK116" i="6"/>
  <c r="AK110" i="6"/>
  <c r="AI110" i="6"/>
  <c r="AI92" i="6"/>
  <c r="AK92" i="6"/>
  <c r="AF91" i="6"/>
  <c r="AH91" i="6"/>
  <c r="AF68" i="6"/>
  <c r="AH68" i="6"/>
  <c r="N21" i="5"/>
  <c r="I89" i="13"/>
  <c r="K21" i="5"/>
  <c r="G89" i="13"/>
  <c r="H89" i="13" s="1"/>
  <c r="L88" i="13"/>
  <c r="M88" i="13"/>
  <c r="H176" i="4"/>
  <c r="J43" i="4"/>
  <c r="M43" i="4" s="1"/>
  <c r="E135" i="13"/>
  <c r="F135" i="13" s="1"/>
  <c r="E43" i="13"/>
  <c r="F43" i="13" s="1"/>
  <c r="E158" i="13"/>
  <c r="F158" i="13" s="1"/>
  <c r="J44" i="4"/>
  <c r="K44" i="4" s="1"/>
  <c r="E159" i="13"/>
  <c r="F159" i="13" s="1"/>
  <c r="E136" i="13"/>
  <c r="F136" i="13" s="1"/>
  <c r="E44" i="13"/>
  <c r="F44" i="13" s="1"/>
  <c r="J42" i="4"/>
  <c r="M42" i="4" s="1"/>
  <c r="E157" i="13"/>
  <c r="F157" i="13" s="1"/>
  <c r="E42" i="13"/>
  <c r="F42" i="13" s="1"/>
  <c r="J20" i="4"/>
  <c r="E67" i="13"/>
  <c r="F67" i="13" s="1"/>
  <c r="J19" i="4"/>
  <c r="E66" i="13"/>
  <c r="F66" i="13" s="1"/>
  <c r="J18" i="4"/>
  <c r="K18" i="4" s="1"/>
  <c r="E65" i="13"/>
  <c r="F65" i="13" s="1"/>
  <c r="AN162" i="6"/>
  <c r="AL162" i="6"/>
  <c r="AN156" i="6"/>
  <c r="AL156" i="6"/>
  <c r="AK163" i="6"/>
  <c r="AI163" i="6"/>
  <c r="AK157" i="6"/>
  <c r="AI157" i="6"/>
  <c r="AK159" i="6"/>
  <c r="AI159" i="6"/>
  <c r="AK155" i="6"/>
  <c r="AI155" i="6"/>
  <c r="AK161" i="6"/>
  <c r="AI161" i="6"/>
  <c r="AN158" i="6"/>
  <c r="AL158" i="6"/>
  <c r="AK135" i="6"/>
  <c r="AI135" i="6"/>
  <c r="AK134" i="6"/>
  <c r="AI134" i="6"/>
  <c r="AI139" i="6"/>
  <c r="AK139" i="6"/>
  <c r="AN115" i="6"/>
  <c r="AL115" i="6"/>
  <c r="AK113" i="6"/>
  <c r="AI113" i="6"/>
  <c r="AK111" i="6"/>
  <c r="AI111" i="6"/>
  <c r="AK114" i="6"/>
  <c r="AI114" i="6"/>
  <c r="AN112" i="6"/>
  <c r="AL112" i="6"/>
  <c r="AK117" i="6"/>
  <c r="AI117" i="6"/>
  <c r="AI87" i="6"/>
  <c r="AK87" i="6"/>
  <c r="AN89" i="6"/>
  <c r="AL89" i="6"/>
  <c r="AI93" i="6"/>
  <c r="AK93" i="6"/>
  <c r="AK88" i="6"/>
  <c r="AI88" i="6"/>
  <c r="AK90" i="6"/>
  <c r="AI90" i="6"/>
  <c r="AK67" i="6"/>
  <c r="AI67" i="6"/>
  <c r="AK65" i="6"/>
  <c r="AI65" i="6"/>
  <c r="AI69" i="6"/>
  <c r="AK69" i="6"/>
  <c r="AH66" i="6"/>
  <c r="AF66" i="6"/>
  <c r="AI63" i="6"/>
  <c r="AK63" i="6"/>
  <c r="AK64" i="6"/>
  <c r="AI64" i="6"/>
  <c r="AK45" i="6"/>
  <c r="AI45" i="6"/>
  <c r="AK44" i="6"/>
  <c r="AI44" i="6"/>
  <c r="AK43" i="6"/>
  <c r="AI43" i="6"/>
  <c r="AK42" i="6"/>
  <c r="AI42" i="6"/>
  <c r="AU154" i="29"/>
  <c r="AQ154" i="29"/>
  <c r="AQ157" i="29"/>
  <c r="AU157" i="29"/>
  <c r="AU158" i="29"/>
  <c r="AQ158" i="29"/>
  <c r="AL169" i="29"/>
  <c r="AP153" i="29"/>
  <c r="AL153" i="29"/>
  <c r="AP155" i="29"/>
  <c r="AL155" i="29"/>
  <c r="AQ161" i="29"/>
  <c r="AU161" i="29"/>
  <c r="AP159" i="29"/>
  <c r="AL159" i="29"/>
  <c r="AU160" i="29"/>
  <c r="AQ160" i="29"/>
  <c r="AU156" i="29"/>
  <c r="AQ156" i="29"/>
  <c r="AP136" i="29"/>
  <c r="AL136" i="29"/>
  <c r="AP132" i="29"/>
  <c r="AL132" i="29"/>
  <c r="AU133" i="29"/>
  <c r="AQ133" i="29"/>
  <c r="AP134" i="29"/>
  <c r="AL134" i="29"/>
  <c r="AU137" i="29"/>
  <c r="AQ137" i="29"/>
  <c r="AP138" i="29"/>
  <c r="AL138" i="29"/>
  <c r="AU135" i="29"/>
  <c r="AQ135" i="29"/>
  <c r="AU131" i="29"/>
  <c r="AQ131" i="29"/>
  <c r="AK130" i="29"/>
  <c r="AG146" i="29"/>
  <c r="AG130" i="29"/>
  <c r="AL112" i="29"/>
  <c r="AP112" i="29"/>
  <c r="AP109" i="29"/>
  <c r="AL109" i="29"/>
  <c r="AL113" i="29"/>
  <c r="AP113" i="29"/>
  <c r="AP111" i="29"/>
  <c r="AL111" i="29"/>
  <c r="AQ108" i="29"/>
  <c r="AU108" i="29"/>
  <c r="AU114" i="29"/>
  <c r="AQ114" i="29"/>
  <c r="AP110" i="29"/>
  <c r="AL110" i="29"/>
  <c r="AP115" i="29"/>
  <c r="AL115" i="29"/>
  <c r="AG87" i="29"/>
  <c r="AK87" i="29"/>
  <c r="AK17" i="29" s="1"/>
  <c r="AG91" i="29"/>
  <c r="AK91" i="29"/>
  <c r="AK21" i="29" s="1"/>
  <c r="AL21" i="29" s="1"/>
  <c r="AQ89" i="29"/>
  <c r="AU89" i="29"/>
  <c r="AP88" i="29"/>
  <c r="AL88" i="29"/>
  <c r="AL86" i="29"/>
  <c r="AP86" i="29"/>
  <c r="AL90" i="29"/>
  <c r="AP90" i="29"/>
  <c r="AP68" i="29"/>
  <c r="AL68" i="29"/>
  <c r="AL67" i="29"/>
  <c r="AP67" i="29"/>
  <c r="AL66" i="29"/>
  <c r="AP66" i="29"/>
  <c r="AP65" i="29"/>
  <c r="AL65" i="29"/>
  <c r="AP64" i="29"/>
  <c r="AL64" i="29"/>
  <c r="AL63" i="29"/>
  <c r="AP63" i="29"/>
  <c r="AL62" i="29"/>
  <c r="AP62" i="29"/>
  <c r="AV44" i="29"/>
  <c r="AX44" i="29"/>
  <c r="AU45" i="29"/>
  <c r="AQ45" i="29"/>
  <c r="AP43" i="29"/>
  <c r="AL43" i="29"/>
  <c r="AP39" i="29"/>
  <c r="AL39" i="29"/>
  <c r="AP41" i="29"/>
  <c r="AL41" i="29"/>
  <c r="AP40" i="29"/>
  <c r="AL40" i="29"/>
  <c r="AK42" i="29"/>
  <c r="AK18" i="29" s="1"/>
  <c r="AG42" i="29"/>
  <c r="AP160" i="5"/>
  <c r="AL160" i="5"/>
  <c r="AK161" i="5"/>
  <c r="AG161" i="5"/>
  <c r="AG159" i="5"/>
  <c r="AK159" i="5"/>
  <c r="V169" i="5"/>
  <c r="T169" i="5"/>
  <c r="AF153" i="5"/>
  <c r="AB153" i="5"/>
  <c r="AB169" i="5"/>
  <c r="M22" i="5"/>
  <c r="N22" i="5" s="1"/>
  <c r="AK157" i="5"/>
  <c r="AG157" i="5"/>
  <c r="AB156" i="5"/>
  <c r="AF156" i="5"/>
  <c r="AG155" i="5"/>
  <c r="AK155" i="5"/>
  <c r="AK131" i="5"/>
  <c r="AG131" i="5"/>
  <c r="AK130" i="5"/>
  <c r="AG130" i="5"/>
  <c r="AK135" i="5"/>
  <c r="AG135" i="5"/>
  <c r="V146" i="5"/>
  <c r="T146" i="5"/>
  <c r="AP132" i="5"/>
  <c r="AL132" i="5"/>
  <c r="AB133" i="5"/>
  <c r="AF133" i="5"/>
  <c r="AP138" i="5"/>
  <c r="AL138" i="5"/>
  <c r="AP136" i="5"/>
  <c r="AL136" i="5"/>
  <c r="AB137" i="5"/>
  <c r="AF137" i="5"/>
  <c r="AA21" i="5"/>
  <c r="AP134" i="5"/>
  <c r="AL134" i="5"/>
  <c r="AK108" i="5"/>
  <c r="AG108" i="5"/>
  <c r="AK115" i="5"/>
  <c r="AK123" i="5" s="1"/>
  <c r="AG115" i="5"/>
  <c r="AG113" i="5"/>
  <c r="AK113" i="5"/>
  <c r="AK111" i="5"/>
  <c r="AG111" i="5"/>
  <c r="AG109" i="5"/>
  <c r="AK109" i="5"/>
  <c r="AK112" i="5"/>
  <c r="AG112" i="5"/>
  <c r="AP114" i="5"/>
  <c r="AL114" i="5"/>
  <c r="AK89" i="5"/>
  <c r="AG89" i="5"/>
  <c r="AF19" i="5"/>
  <c r="Q89" i="13" s="1"/>
  <c r="AG86" i="5"/>
  <c r="AK86" i="5"/>
  <c r="AP87" i="5"/>
  <c r="AL87" i="5"/>
  <c r="AK85" i="5"/>
  <c r="AG85" i="5"/>
  <c r="AG90" i="5"/>
  <c r="AK90" i="5"/>
  <c r="AP88" i="5"/>
  <c r="AL88" i="5"/>
  <c r="AP91" i="5"/>
  <c r="AL91" i="5"/>
  <c r="AL66" i="5"/>
  <c r="AP66" i="5"/>
  <c r="AU64" i="5"/>
  <c r="AQ64" i="5"/>
  <c r="AU68" i="5"/>
  <c r="AQ68" i="5"/>
  <c r="T15" i="5"/>
  <c r="V15" i="5"/>
  <c r="AG67" i="5"/>
  <c r="AK67" i="5"/>
  <c r="AL62" i="5"/>
  <c r="AP62" i="5"/>
  <c r="AQ65" i="5"/>
  <c r="AU65" i="5"/>
  <c r="T18" i="5"/>
  <c r="V18" i="5"/>
  <c r="V77" i="5"/>
  <c r="T77" i="5"/>
  <c r="T16" i="5"/>
  <c r="V16" i="5"/>
  <c r="AF63" i="5"/>
  <c r="AB63" i="5"/>
  <c r="S21" i="5"/>
  <c r="K89" i="13" s="1"/>
  <c r="K184" i="4"/>
  <c r="M184" i="4"/>
  <c r="H184" i="4"/>
  <c r="M181" i="4"/>
  <c r="K181" i="4"/>
  <c r="H181" i="4"/>
  <c r="M182" i="4"/>
  <c r="K182" i="4"/>
  <c r="H182" i="4"/>
  <c r="M180" i="4"/>
  <c r="K180" i="4"/>
  <c r="H180" i="4"/>
  <c r="M183" i="4"/>
  <c r="K183" i="4"/>
  <c r="H183" i="4"/>
  <c r="H178" i="4"/>
  <c r="J179" i="4"/>
  <c r="J177" i="4"/>
  <c r="K177" i="4" s="1"/>
  <c r="J176" i="4"/>
  <c r="M178" i="4"/>
  <c r="M161" i="4"/>
  <c r="K161" i="4"/>
  <c r="H161" i="4"/>
  <c r="H160" i="4"/>
  <c r="M160" i="4"/>
  <c r="K160" i="4"/>
  <c r="M159" i="4"/>
  <c r="K159" i="4"/>
  <c r="H159" i="4"/>
  <c r="M158" i="4"/>
  <c r="K158" i="4"/>
  <c r="H158" i="4"/>
  <c r="M157" i="4"/>
  <c r="K157" i="4"/>
  <c r="H157" i="4"/>
  <c r="M138" i="4"/>
  <c r="K138" i="4"/>
  <c r="H138" i="4"/>
  <c r="M137" i="4"/>
  <c r="K137" i="4"/>
  <c r="H137" i="4"/>
  <c r="K136" i="4"/>
  <c r="M136" i="4"/>
  <c r="H136" i="4"/>
  <c r="M135" i="4"/>
  <c r="K135" i="4"/>
  <c r="H135" i="4"/>
  <c r="J134" i="4"/>
  <c r="M134" i="4" s="1"/>
  <c r="S134" i="4" s="1"/>
  <c r="K115" i="4"/>
  <c r="M115" i="4"/>
  <c r="H115" i="4"/>
  <c r="J114" i="4"/>
  <c r="M112" i="4"/>
  <c r="K112" i="4"/>
  <c r="H112" i="4"/>
  <c r="M111" i="4"/>
  <c r="K111" i="4"/>
  <c r="H110" i="4"/>
  <c r="H111" i="4"/>
  <c r="M110" i="4"/>
  <c r="K110" i="4"/>
  <c r="M113" i="4"/>
  <c r="K113" i="4"/>
  <c r="H113" i="4"/>
  <c r="J109" i="4"/>
  <c r="H89" i="4"/>
  <c r="J88" i="4"/>
  <c r="M88" i="4" s="1"/>
  <c r="S88" i="4" s="1"/>
  <c r="S89" i="4"/>
  <c r="N89" i="4"/>
  <c r="K89" i="4"/>
  <c r="H91" i="4"/>
  <c r="M90" i="4"/>
  <c r="K90" i="4"/>
  <c r="H90" i="4"/>
  <c r="H87" i="4"/>
  <c r="S91" i="4"/>
  <c r="N91" i="4"/>
  <c r="K91" i="4"/>
  <c r="S87" i="4"/>
  <c r="N87" i="4"/>
  <c r="K87" i="4"/>
  <c r="M65" i="4"/>
  <c r="K65" i="4"/>
  <c r="H65" i="4"/>
  <c r="M64" i="4"/>
  <c r="K64" i="4"/>
  <c r="H64" i="4"/>
  <c r="M66" i="4"/>
  <c r="K66" i="4"/>
  <c r="H66" i="4"/>
  <c r="H68" i="4"/>
  <c r="K67" i="4"/>
  <c r="M67" i="4"/>
  <c r="H67" i="4"/>
  <c r="K68" i="4"/>
  <c r="M68" i="4"/>
  <c r="H44" i="4"/>
  <c r="H42" i="4"/>
  <c r="H43" i="4"/>
  <c r="M41" i="4"/>
  <c r="K41" i="4"/>
  <c r="H41" i="4"/>
  <c r="M45" i="4"/>
  <c r="K45" i="4"/>
  <c r="H45" i="4"/>
  <c r="J21" i="4"/>
  <c r="M21" i="4" s="1"/>
  <c r="N21" i="4" s="1"/>
  <c r="H20" i="4"/>
  <c r="H19" i="4"/>
  <c r="H18" i="4"/>
  <c r="M17" i="4"/>
  <c r="K17" i="4"/>
  <c r="H17" i="4"/>
  <c r="AA361" i="22" l="1"/>
  <c r="AA353" i="22"/>
  <c r="D355" i="22" s="1"/>
  <c r="C21" i="24" s="1"/>
  <c r="D357" i="22"/>
  <c r="D21" i="24" s="1"/>
  <c r="Z485" i="22"/>
  <c r="Z487" i="22" s="1"/>
  <c r="AA487" i="22" s="1"/>
  <c r="Z477" i="22"/>
  <c r="AA485" i="22"/>
  <c r="AA477" i="22"/>
  <c r="D479" i="22" s="1"/>
  <c r="C25" i="24" s="1"/>
  <c r="D481" i="22"/>
  <c r="D25" i="24" s="1"/>
  <c r="AA442" i="22"/>
  <c r="AA443" i="22" s="1"/>
  <c r="AA445" i="22" s="1"/>
  <c r="Z361" i="22"/>
  <c r="Z363" i="22" s="1"/>
  <c r="AA363" i="22" s="1"/>
  <c r="Z353" i="22"/>
  <c r="Z454" i="22"/>
  <c r="Z456" i="22" s="1"/>
  <c r="Z446" i="22"/>
  <c r="AL152" i="7"/>
  <c r="AO152" i="7"/>
  <c r="H221" i="22"/>
  <c r="F221" i="22"/>
  <c r="AQ85" i="29"/>
  <c r="M44" i="4"/>
  <c r="I159" i="13" s="1"/>
  <c r="M18" i="4"/>
  <c r="S18" i="4" s="1"/>
  <c r="K43" i="4"/>
  <c r="AP15" i="29"/>
  <c r="AL158" i="5"/>
  <c r="AP158" i="5"/>
  <c r="AG110" i="5"/>
  <c r="AK110" i="5"/>
  <c r="AL154" i="5"/>
  <c r="AP154" i="5"/>
  <c r="AS120" i="7"/>
  <c r="AT120" i="7"/>
  <c r="AS143" i="7"/>
  <c r="AU143" i="7"/>
  <c r="AI148" i="6"/>
  <c r="AP19" i="29"/>
  <c r="AT95" i="7"/>
  <c r="AS95" i="7"/>
  <c r="AT119" i="7"/>
  <c r="AP16" i="29"/>
  <c r="AL93" i="7"/>
  <c r="AM93" i="7" s="1"/>
  <c r="AO93" i="7"/>
  <c r="AP93" i="7" s="1"/>
  <c r="AR93" i="7" s="1"/>
  <c r="AL142" i="7"/>
  <c r="AM142" i="7" s="1"/>
  <c r="AO142" i="7"/>
  <c r="AP142" i="7" s="1"/>
  <c r="AR142" i="7" s="1"/>
  <c r="Z116" i="7"/>
  <c r="AA116" i="7" s="1"/>
  <c r="AC116" i="7"/>
  <c r="AD116" i="7" s="1"/>
  <c r="AH19" i="7"/>
  <c r="AG47" i="7"/>
  <c r="V20" i="7"/>
  <c r="X165" i="7"/>
  <c r="AB22" i="7"/>
  <c r="AF68" i="7"/>
  <c r="AG68" i="7" s="1"/>
  <c r="AI68" i="7"/>
  <c r="AJ68" i="7" s="1"/>
  <c r="V19" i="7"/>
  <c r="X164" i="7"/>
  <c r="AF140" i="7"/>
  <c r="AG140" i="7" s="1"/>
  <c r="AI140" i="7"/>
  <c r="AJ140" i="7" s="1"/>
  <c r="AG46" i="7"/>
  <c r="AK18" i="6"/>
  <c r="AI18" i="6"/>
  <c r="U18" i="13"/>
  <c r="V18" i="13" s="1"/>
  <c r="AB20" i="7"/>
  <c r="AH22" i="7"/>
  <c r="U20" i="13"/>
  <c r="V20" i="13" s="1"/>
  <c r="AI20" i="6"/>
  <c r="AK20" i="6"/>
  <c r="X166" i="7"/>
  <c r="V21" i="7"/>
  <c r="AT71" i="7"/>
  <c r="AJ47" i="7"/>
  <c r="AN22" i="7"/>
  <c r="AB21" i="7"/>
  <c r="AP20" i="29"/>
  <c r="AS71" i="7"/>
  <c r="AL70" i="7"/>
  <c r="AM70" i="7" s="1"/>
  <c r="AO70" i="7"/>
  <c r="AP70" i="7" s="1"/>
  <c r="AR70" i="7" s="1"/>
  <c r="Z44" i="7"/>
  <c r="AC44" i="7"/>
  <c r="U21" i="13"/>
  <c r="V21" i="13" s="1"/>
  <c r="AI21" i="6"/>
  <c r="AK21" i="6"/>
  <c r="AB19" i="7"/>
  <c r="AJ46" i="7"/>
  <c r="V22" i="7"/>
  <c r="X167" i="7"/>
  <c r="AH21" i="7"/>
  <c r="AG146" i="5"/>
  <c r="J89" i="13"/>
  <c r="AI171" i="6"/>
  <c r="AI160" i="6"/>
  <c r="AK160" i="6"/>
  <c r="AI137" i="6"/>
  <c r="AK137" i="6"/>
  <c r="AK138" i="6"/>
  <c r="AI138" i="6"/>
  <c r="AK136" i="6"/>
  <c r="AI136" i="6"/>
  <c r="AL133" i="6"/>
  <c r="AN133" i="6"/>
  <c r="AK132" i="6"/>
  <c r="AI132" i="6"/>
  <c r="AN110" i="6"/>
  <c r="AL110" i="6"/>
  <c r="AN116" i="6"/>
  <c r="AL116" i="6"/>
  <c r="AU119" i="7"/>
  <c r="AS119" i="7"/>
  <c r="AK91" i="6"/>
  <c r="AI91" i="6"/>
  <c r="AN92" i="6"/>
  <c r="AL92" i="6"/>
  <c r="AS94" i="7"/>
  <c r="AU94" i="7"/>
  <c r="AT94" i="7"/>
  <c r="AK68" i="6"/>
  <c r="AI68" i="6"/>
  <c r="M89" i="13"/>
  <c r="L89" i="13"/>
  <c r="I65" i="13"/>
  <c r="G67" i="13"/>
  <c r="H67" i="13" s="1"/>
  <c r="K42" i="4"/>
  <c r="G65" i="13"/>
  <c r="H65" i="13" s="1"/>
  <c r="G66" i="13"/>
  <c r="H66" i="13" s="1"/>
  <c r="I135" i="13"/>
  <c r="I158" i="13"/>
  <c r="I43" i="13"/>
  <c r="I42" i="13"/>
  <c r="I157" i="13"/>
  <c r="G42" i="13"/>
  <c r="H42" i="13" s="1"/>
  <c r="G157" i="13"/>
  <c r="H157" i="13" s="1"/>
  <c r="G136" i="13"/>
  <c r="H136" i="13" s="1"/>
  <c r="G44" i="13"/>
  <c r="H44" i="13" s="1"/>
  <c r="G159" i="13"/>
  <c r="H159" i="13" s="1"/>
  <c r="G135" i="13"/>
  <c r="H135" i="13" s="1"/>
  <c r="G43" i="13"/>
  <c r="H43" i="13" s="1"/>
  <c r="G158" i="13"/>
  <c r="H158" i="13" s="1"/>
  <c r="K19" i="4"/>
  <c r="M20" i="4"/>
  <c r="K20" i="4"/>
  <c r="M19" i="4"/>
  <c r="I66" i="13" s="1"/>
  <c r="AL155" i="6"/>
  <c r="AN155" i="6"/>
  <c r="AN159" i="6"/>
  <c r="AL159" i="6"/>
  <c r="AL157" i="6"/>
  <c r="AN157" i="6"/>
  <c r="AL163" i="6"/>
  <c r="AN163" i="6"/>
  <c r="AL161" i="6"/>
  <c r="AN161" i="6"/>
  <c r="AN139" i="6"/>
  <c r="AL139" i="6"/>
  <c r="AL134" i="6"/>
  <c r="AN134" i="6"/>
  <c r="AN140" i="6"/>
  <c r="AN135" i="6"/>
  <c r="AL135" i="6"/>
  <c r="AN114" i="6"/>
  <c r="AL114" i="6"/>
  <c r="AL111" i="6"/>
  <c r="AN111" i="6"/>
  <c r="AN113" i="6"/>
  <c r="AL113" i="6"/>
  <c r="AL117" i="6"/>
  <c r="AN117" i="6"/>
  <c r="AL88" i="6"/>
  <c r="AN88" i="6"/>
  <c r="AL93" i="6"/>
  <c r="AN93" i="6"/>
  <c r="AL87" i="6"/>
  <c r="AN87" i="6"/>
  <c r="AN90" i="6"/>
  <c r="AL90" i="6"/>
  <c r="AK66" i="6"/>
  <c r="AI66" i="6"/>
  <c r="AL69" i="6"/>
  <c r="AN69" i="6"/>
  <c r="AL64" i="6"/>
  <c r="AN64" i="6"/>
  <c r="AN65" i="6"/>
  <c r="AL65" i="6"/>
  <c r="AN67" i="6"/>
  <c r="AL67" i="6"/>
  <c r="AL63" i="6"/>
  <c r="AN63" i="6"/>
  <c r="AN45" i="6"/>
  <c r="AL45" i="6"/>
  <c r="AN44" i="6"/>
  <c r="AL44" i="6"/>
  <c r="AL43" i="6"/>
  <c r="AN43" i="6"/>
  <c r="AL42" i="6"/>
  <c r="AN42" i="6"/>
  <c r="AU155" i="29"/>
  <c r="AQ155" i="29"/>
  <c r="AQ153" i="29"/>
  <c r="AQ169" i="29"/>
  <c r="AU153" i="29"/>
  <c r="AV156" i="29"/>
  <c r="AX156" i="29"/>
  <c r="AX158" i="29"/>
  <c r="AV158" i="29"/>
  <c r="AV160" i="29"/>
  <c r="AX160" i="29"/>
  <c r="AX157" i="29"/>
  <c r="AV157" i="29"/>
  <c r="AU159" i="29"/>
  <c r="AQ159" i="29"/>
  <c r="AX161" i="29"/>
  <c r="AV161" i="29"/>
  <c r="AX154" i="29"/>
  <c r="AV154" i="29"/>
  <c r="AQ138" i="29"/>
  <c r="AU138" i="29"/>
  <c r="AV137" i="29"/>
  <c r="AX137" i="29"/>
  <c r="AL146" i="29"/>
  <c r="AP130" i="29"/>
  <c r="AL130" i="29"/>
  <c r="AV133" i="29"/>
  <c r="AX133" i="29"/>
  <c r="AQ134" i="29"/>
  <c r="AU134" i="29"/>
  <c r="AX131" i="29"/>
  <c r="AV131" i="29"/>
  <c r="AU132" i="29"/>
  <c r="AQ132" i="29"/>
  <c r="AX135" i="29"/>
  <c r="AV135" i="29"/>
  <c r="AU136" i="29"/>
  <c r="AQ136" i="29"/>
  <c r="AV114" i="29"/>
  <c r="AX114" i="29"/>
  <c r="AX108" i="29"/>
  <c r="AV108" i="29"/>
  <c r="AQ111" i="29"/>
  <c r="AU111" i="29"/>
  <c r="AQ115" i="29"/>
  <c r="AU115" i="29"/>
  <c r="AU113" i="29"/>
  <c r="AQ113" i="29"/>
  <c r="AU109" i="29"/>
  <c r="AQ109" i="29"/>
  <c r="AU112" i="29"/>
  <c r="AQ112" i="29"/>
  <c r="AU110" i="29"/>
  <c r="AQ110" i="29"/>
  <c r="AP91" i="29"/>
  <c r="AP21" i="29" s="1"/>
  <c r="AQ21" i="29" s="1"/>
  <c r="AL91" i="29"/>
  <c r="AP87" i="29"/>
  <c r="AP17" i="29" s="1"/>
  <c r="AL87" i="29"/>
  <c r="AQ88" i="29"/>
  <c r="AU88" i="29"/>
  <c r="AX85" i="29"/>
  <c r="AV85" i="29"/>
  <c r="AU90" i="29"/>
  <c r="AQ90" i="29"/>
  <c r="AX89" i="29"/>
  <c r="AV89" i="29"/>
  <c r="AU86" i="29"/>
  <c r="AQ86" i="29"/>
  <c r="AU64" i="29"/>
  <c r="AQ64" i="29"/>
  <c r="AU66" i="29"/>
  <c r="AQ66" i="29"/>
  <c r="AQ62" i="29"/>
  <c r="AU62" i="29"/>
  <c r="AU63" i="29"/>
  <c r="AQ63" i="29"/>
  <c r="AU67" i="29"/>
  <c r="AQ67" i="29"/>
  <c r="AQ65" i="29"/>
  <c r="AU65" i="29"/>
  <c r="AU68" i="29"/>
  <c r="AQ68" i="29"/>
  <c r="AV45" i="29"/>
  <c r="AX45" i="29"/>
  <c r="AP42" i="29"/>
  <c r="AP18" i="29" s="1"/>
  <c r="AL42" i="29"/>
  <c r="AU41" i="29"/>
  <c r="AQ41" i="29"/>
  <c r="AU40" i="29"/>
  <c r="AQ40" i="29"/>
  <c r="AU39" i="29"/>
  <c r="AU15" i="29" s="1"/>
  <c r="AQ39" i="29"/>
  <c r="AU43" i="29"/>
  <c r="AQ43" i="29"/>
  <c r="S22" i="5"/>
  <c r="V22" i="5" s="1"/>
  <c r="AK153" i="5"/>
  <c r="AG169" i="5"/>
  <c r="AG153" i="5"/>
  <c r="AK156" i="5"/>
  <c r="AG156" i="5"/>
  <c r="AP159" i="5"/>
  <c r="AL159" i="5"/>
  <c r="AP155" i="5"/>
  <c r="AL155" i="5"/>
  <c r="AP157" i="5"/>
  <c r="AL157" i="5"/>
  <c r="AP161" i="5"/>
  <c r="AL161" i="5"/>
  <c r="AU160" i="5"/>
  <c r="AQ160" i="5"/>
  <c r="AU132" i="5"/>
  <c r="AQ132" i="5"/>
  <c r="AQ134" i="5"/>
  <c r="AU134" i="5"/>
  <c r="AK137" i="5"/>
  <c r="AG137" i="5"/>
  <c r="AF21" i="5"/>
  <c r="Q91" i="13" s="1"/>
  <c r="AL135" i="5"/>
  <c r="AP135" i="5"/>
  <c r="AU136" i="5"/>
  <c r="AQ136" i="5"/>
  <c r="AP130" i="5"/>
  <c r="AL130" i="5"/>
  <c r="AQ138" i="5"/>
  <c r="AU138" i="5"/>
  <c r="AK133" i="5"/>
  <c r="AG133" i="5"/>
  <c r="AL131" i="5"/>
  <c r="AP131" i="5"/>
  <c r="AP111" i="5"/>
  <c r="AL111" i="5"/>
  <c r="AU114" i="5"/>
  <c r="AQ114" i="5"/>
  <c r="AL112" i="5"/>
  <c r="AP112" i="5"/>
  <c r="AL113" i="5"/>
  <c r="AP113" i="5"/>
  <c r="AL109" i="5"/>
  <c r="AP109" i="5"/>
  <c r="AP115" i="5"/>
  <c r="AP123" i="5" s="1"/>
  <c r="AL115" i="5"/>
  <c r="AL108" i="5"/>
  <c r="AP108" i="5"/>
  <c r="AL85" i="5"/>
  <c r="AP85" i="5"/>
  <c r="AU91" i="5"/>
  <c r="AQ91" i="5"/>
  <c r="AP86" i="5"/>
  <c r="AL86" i="5"/>
  <c r="AP90" i="5"/>
  <c r="AL90" i="5"/>
  <c r="AU87" i="5"/>
  <c r="AQ87" i="5"/>
  <c r="AQ88" i="5"/>
  <c r="AU88" i="5"/>
  <c r="AL89" i="5"/>
  <c r="AP89" i="5"/>
  <c r="V21" i="5"/>
  <c r="T21" i="5"/>
  <c r="AB21" i="5"/>
  <c r="AV68" i="5"/>
  <c r="AX68" i="5"/>
  <c r="AU62" i="5"/>
  <c r="AQ62" i="5"/>
  <c r="AV64" i="5"/>
  <c r="AX64" i="5"/>
  <c r="AP67" i="5"/>
  <c r="AL67" i="5"/>
  <c r="AX65" i="5"/>
  <c r="AV65" i="5"/>
  <c r="AG63" i="5"/>
  <c r="AK63" i="5"/>
  <c r="AU66" i="5"/>
  <c r="AQ66" i="5"/>
  <c r="S184" i="4"/>
  <c r="N184" i="4"/>
  <c r="S181" i="4"/>
  <c r="N181" i="4"/>
  <c r="S182" i="4"/>
  <c r="N182" i="4"/>
  <c r="S180" i="4"/>
  <c r="N180" i="4"/>
  <c r="N183" i="4"/>
  <c r="S183" i="4"/>
  <c r="M177" i="4"/>
  <c r="S177" i="4" s="1"/>
  <c r="N178" i="4"/>
  <c r="S178" i="4"/>
  <c r="K176" i="4"/>
  <c r="M176" i="4"/>
  <c r="K179" i="4"/>
  <c r="M179" i="4"/>
  <c r="S161" i="4"/>
  <c r="N161" i="4"/>
  <c r="S160" i="4"/>
  <c r="N160" i="4"/>
  <c r="S159" i="4"/>
  <c r="N159" i="4"/>
  <c r="N158" i="4"/>
  <c r="S158" i="4"/>
  <c r="S157" i="4"/>
  <c r="N157" i="4"/>
  <c r="S138" i="4"/>
  <c r="N138" i="4"/>
  <c r="S137" i="4"/>
  <c r="N137" i="4"/>
  <c r="N136" i="4"/>
  <c r="S136" i="4"/>
  <c r="N134" i="4"/>
  <c r="S135" i="4"/>
  <c r="N135" i="4"/>
  <c r="K134" i="4"/>
  <c r="V134" i="4"/>
  <c r="T134" i="4"/>
  <c r="Y134" i="4"/>
  <c r="K114" i="4"/>
  <c r="M114" i="4"/>
  <c r="N115" i="4"/>
  <c r="S115" i="4"/>
  <c r="S112" i="4"/>
  <c r="N112" i="4"/>
  <c r="S111" i="4"/>
  <c r="N111" i="4"/>
  <c r="S110" i="4"/>
  <c r="N110" i="4"/>
  <c r="N113" i="4"/>
  <c r="S113" i="4"/>
  <c r="K109" i="4"/>
  <c r="M109" i="4"/>
  <c r="K88" i="4"/>
  <c r="N88" i="4"/>
  <c r="V88" i="4"/>
  <c r="T88" i="4"/>
  <c r="Y88" i="4"/>
  <c r="V89" i="4"/>
  <c r="T89" i="4"/>
  <c r="Y89" i="4"/>
  <c r="S90" i="4"/>
  <c r="N90" i="4"/>
  <c r="T91" i="4"/>
  <c r="Y91" i="4"/>
  <c r="V91" i="4"/>
  <c r="T87" i="4"/>
  <c r="V87" i="4"/>
  <c r="Y87" i="4"/>
  <c r="N65" i="4"/>
  <c r="S65" i="4"/>
  <c r="S64" i="4"/>
  <c r="N64" i="4"/>
  <c r="S66" i="4"/>
  <c r="N66" i="4"/>
  <c r="S67" i="4"/>
  <c r="N67" i="4"/>
  <c r="S68" i="4"/>
  <c r="N68" i="4"/>
  <c r="S42" i="4"/>
  <c r="N42" i="4"/>
  <c r="S43" i="4"/>
  <c r="N43" i="4"/>
  <c r="S21" i="4"/>
  <c r="T21" i="4" s="1"/>
  <c r="S41" i="4"/>
  <c r="N41" i="4"/>
  <c r="S45" i="4"/>
  <c r="N45" i="4"/>
  <c r="K21" i="4"/>
  <c r="N17" i="4"/>
  <c r="S17" i="4"/>
  <c r="AA454" i="22" l="1"/>
  <c r="AA456" i="22" s="1"/>
  <c r="AA446" i="22"/>
  <c r="D448" i="22" s="1"/>
  <c r="C24" i="24" s="1"/>
  <c r="D450" i="22"/>
  <c r="D24" i="24" s="1"/>
  <c r="AP152" i="7"/>
  <c r="I67" i="13"/>
  <c r="J67" i="13" s="1"/>
  <c r="S44" i="4"/>
  <c r="I136" i="13"/>
  <c r="J136" i="13" s="1"/>
  <c r="N44" i="4"/>
  <c r="I44" i="13"/>
  <c r="J44" i="13" s="1"/>
  <c r="J66" i="13"/>
  <c r="N18" i="4"/>
  <c r="AU154" i="5"/>
  <c r="AQ154" i="5"/>
  <c r="AP110" i="5"/>
  <c r="AL110" i="5"/>
  <c r="AU158" i="5"/>
  <c r="AQ158" i="5"/>
  <c r="AT93" i="7"/>
  <c r="AN148" i="6"/>
  <c r="AT70" i="7"/>
  <c r="AU16" i="29"/>
  <c r="AF116" i="7"/>
  <c r="AG116" i="7" s="1"/>
  <c r="AI116" i="7"/>
  <c r="AD44" i="7"/>
  <c r="AU20" i="29"/>
  <c r="W21" i="13"/>
  <c r="AN21" i="6"/>
  <c r="AL21" i="6"/>
  <c r="AL68" i="7"/>
  <c r="AO68" i="7"/>
  <c r="AP68" i="7" s="1"/>
  <c r="AR68" i="7" s="1"/>
  <c r="AU19" i="29"/>
  <c r="AT142" i="7"/>
  <c r="AA44" i="7"/>
  <c r="AL47" i="7"/>
  <c r="AO47" i="7"/>
  <c r="Z166" i="7"/>
  <c r="AC166" i="7"/>
  <c r="X21" i="7"/>
  <c r="W20" i="13"/>
  <c r="AN20" i="6"/>
  <c r="AL20" i="6"/>
  <c r="W18" i="13"/>
  <c r="AL18" i="6"/>
  <c r="AN18" i="6"/>
  <c r="Z165" i="7"/>
  <c r="AC165" i="7"/>
  <c r="AD165" i="7" s="1"/>
  <c r="AL46" i="7"/>
  <c r="AO46" i="7"/>
  <c r="AL140" i="7"/>
  <c r="AM140" i="7" s="1"/>
  <c r="AO140" i="7"/>
  <c r="AP140" i="7" s="1"/>
  <c r="AR140" i="7" s="1"/>
  <c r="Z167" i="7"/>
  <c r="AC167" i="7"/>
  <c r="X22" i="7"/>
  <c r="Z164" i="7"/>
  <c r="AA164" i="7" s="1"/>
  <c r="AC164" i="7"/>
  <c r="AD164" i="7" s="1"/>
  <c r="AL146" i="5"/>
  <c r="AL160" i="6"/>
  <c r="AN160" i="6"/>
  <c r="AN136" i="6"/>
  <c r="AL136" i="6"/>
  <c r="AL138" i="6"/>
  <c r="AN138" i="6"/>
  <c r="AU142" i="7"/>
  <c r="AS142" i="7"/>
  <c r="AN132" i="6"/>
  <c r="AL132" i="6"/>
  <c r="AN137" i="6"/>
  <c r="AL137" i="6"/>
  <c r="AN91" i="6"/>
  <c r="AL91" i="6"/>
  <c r="AU93" i="7"/>
  <c r="AS93" i="7"/>
  <c r="AL68" i="6"/>
  <c r="AN68" i="6"/>
  <c r="AU70" i="7"/>
  <c r="AS70" i="7"/>
  <c r="AG21" i="5"/>
  <c r="J65" i="13"/>
  <c r="J157" i="13"/>
  <c r="J158" i="13"/>
  <c r="J135" i="13"/>
  <c r="J159" i="13"/>
  <c r="K65" i="13"/>
  <c r="L65" i="13" s="1"/>
  <c r="K136" i="13"/>
  <c r="K159" i="13"/>
  <c r="K44" i="13"/>
  <c r="K42" i="13"/>
  <c r="K157" i="13"/>
  <c r="K43" i="13"/>
  <c r="K158" i="13"/>
  <c r="K135" i="13"/>
  <c r="J42" i="13"/>
  <c r="J43" i="13"/>
  <c r="N20" i="4"/>
  <c r="S20" i="4"/>
  <c r="K67" i="13" s="1"/>
  <c r="N19" i="4"/>
  <c r="S19" i="4"/>
  <c r="K66" i="13" s="1"/>
  <c r="AN171" i="6"/>
  <c r="AL171" i="6"/>
  <c r="AN66" i="6"/>
  <c r="AL66" i="6"/>
  <c r="AX155" i="29"/>
  <c r="AV155" i="29"/>
  <c r="AX159" i="29"/>
  <c r="AV159" i="29"/>
  <c r="AX153" i="29"/>
  <c r="AV153" i="29"/>
  <c r="AX134" i="29"/>
  <c r="AV134" i="29"/>
  <c r="AX136" i="29"/>
  <c r="AV136" i="29"/>
  <c r="AQ130" i="29"/>
  <c r="AQ146" i="29"/>
  <c r="AU130" i="29"/>
  <c r="AX132" i="29"/>
  <c r="AV132" i="29"/>
  <c r="AX138" i="29"/>
  <c r="AV138" i="29"/>
  <c r="AX113" i="29"/>
  <c r="AV113" i="29"/>
  <c r="AV115" i="29"/>
  <c r="AX115" i="29"/>
  <c r="AV110" i="29"/>
  <c r="AX110" i="29"/>
  <c r="AX111" i="29"/>
  <c r="AV111" i="29"/>
  <c r="AX112" i="29"/>
  <c r="AV112" i="29"/>
  <c r="AX109" i="29"/>
  <c r="AV109" i="29"/>
  <c r="AU87" i="29"/>
  <c r="AU17" i="29" s="1"/>
  <c r="AQ87" i="29"/>
  <c r="AU91" i="29"/>
  <c r="AU21" i="29" s="1"/>
  <c r="AQ91" i="29"/>
  <c r="AX86" i="29"/>
  <c r="AV86" i="29"/>
  <c r="AX90" i="29"/>
  <c r="AV90" i="29"/>
  <c r="AV88" i="29"/>
  <c r="AX88" i="29"/>
  <c r="AV64" i="29"/>
  <c r="AX64" i="29"/>
  <c r="AX63" i="29"/>
  <c r="AV63" i="29"/>
  <c r="AX67" i="29"/>
  <c r="AV67" i="29"/>
  <c r="AV68" i="29"/>
  <c r="AX68" i="29"/>
  <c r="AX62" i="29"/>
  <c r="AV62" i="29"/>
  <c r="AX65" i="29"/>
  <c r="AV65" i="29"/>
  <c r="AX66" i="29"/>
  <c r="AV66" i="29"/>
  <c r="AX43" i="29"/>
  <c r="AV43" i="29"/>
  <c r="AX39" i="29"/>
  <c r="AV39" i="29"/>
  <c r="AX40" i="29"/>
  <c r="AV40" i="29"/>
  <c r="AX41" i="29"/>
  <c r="AV41" i="29"/>
  <c r="AU42" i="29"/>
  <c r="AU18" i="29" s="1"/>
  <c r="AQ42" i="29"/>
  <c r="T22" i="5"/>
  <c r="AU159" i="5"/>
  <c r="AQ159" i="5"/>
  <c r="AV160" i="5"/>
  <c r="AX160" i="5"/>
  <c r="AP156" i="5"/>
  <c r="AL156" i="5"/>
  <c r="AQ161" i="5"/>
  <c r="AU161" i="5"/>
  <c r="AL169" i="5"/>
  <c r="AP153" i="5"/>
  <c r="AL153" i="5"/>
  <c r="AQ157" i="5"/>
  <c r="AU157" i="5"/>
  <c r="AU155" i="5"/>
  <c r="AQ155" i="5"/>
  <c r="AX136" i="5"/>
  <c r="AV136" i="5"/>
  <c r="AU135" i="5"/>
  <c r="AQ135" i="5"/>
  <c r="AU131" i="5"/>
  <c r="AQ131" i="5"/>
  <c r="AP133" i="5"/>
  <c r="AL133" i="5"/>
  <c r="AP137" i="5"/>
  <c r="AL137" i="5"/>
  <c r="AK21" i="5"/>
  <c r="S91" i="13" s="1"/>
  <c r="AX138" i="5"/>
  <c r="AV138" i="5"/>
  <c r="AX134" i="5"/>
  <c r="AV134" i="5"/>
  <c r="AQ130" i="5"/>
  <c r="AU130" i="5"/>
  <c r="AX132" i="5"/>
  <c r="AV132" i="5"/>
  <c r="AU113" i="5"/>
  <c r="AQ113" i="5"/>
  <c r="AU108" i="5"/>
  <c r="AQ108" i="5"/>
  <c r="AQ112" i="5"/>
  <c r="AU112" i="5"/>
  <c r="AQ115" i="5"/>
  <c r="AU115" i="5"/>
  <c r="AU123" i="5" s="1"/>
  <c r="AV114" i="5"/>
  <c r="AX114" i="5"/>
  <c r="AU109" i="5"/>
  <c r="AQ109" i="5"/>
  <c r="AQ111" i="5"/>
  <c r="AU111" i="5"/>
  <c r="AV91" i="5"/>
  <c r="AX91" i="5"/>
  <c r="AU85" i="5"/>
  <c r="AQ85" i="5"/>
  <c r="AU89" i="5"/>
  <c r="AQ89" i="5"/>
  <c r="AX88" i="5"/>
  <c r="AV88" i="5"/>
  <c r="AV87" i="5"/>
  <c r="AX87" i="5"/>
  <c r="AU90" i="5"/>
  <c r="AQ90" i="5"/>
  <c r="AU86" i="5"/>
  <c r="AQ86" i="5"/>
  <c r="AX66" i="5"/>
  <c r="AV66" i="5"/>
  <c r="AX62" i="5"/>
  <c r="AV62" i="5"/>
  <c r="AP63" i="5"/>
  <c r="AL63" i="5"/>
  <c r="AQ67" i="5"/>
  <c r="AU67" i="5"/>
  <c r="V184" i="4"/>
  <c r="T184" i="4"/>
  <c r="Y184" i="4"/>
  <c r="V181" i="4"/>
  <c r="T181" i="4"/>
  <c r="Y181" i="4"/>
  <c r="T182" i="4"/>
  <c r="Y182" i="4"/>
  <c r="V182" i="4"/>
  <c r="V180" i="4"/>
  <c r="T180" i="4"/>
  <c r="Y180" i="4"/>
  <c r="T183" i="4"/>
  <c r="Y183" i="4"/>
  <c r="V183" i="4"/>
  <c r="N177" i="4"/>
  <c r="N179" i="4"/>
  <c r="S179" i="4"/>
  <c r="N176" i="4"/>
  <c r="S176" i="4"/>
  <c r="Y178" i="4"/>
  <c r="V178" i="4"/>
  <c r="T178" i="4"/>
  <c r="T177" i="4"/>
  <c r="V177" i="4"/>
  <c r="Y177" i="4"/>
  <c r="V161" i="4"/>
  <c r="T161" i="4"/>
  <c r="Y161" i="4"/>
  <c r="V160" i="4"/>
  <c r="T160" i="4"/>
  <c r="Y160" i="4"/>
  <c r="V159" i="4"/>
  <c r="T159" i="4"/>
  <c r="Y159" i="4"/>
  <c r="T158" i="4"/>
  <c r="Y158" i="4"/>
  <c r="V158" i="4"/>
  <c r="V157" i="4"/>
  <c r="T157" i="4"/>
  <c r="Y157" i="4"/>
  <c r="V138" i="4"/>
  <c r="T138" i="4"/>
  <c r="Y138" i="4"/>
  <c r="T137" i="4"/>
  <c r="Y137" i="4"/>
  <c r="V137" i="4"/>
  <c r="T136" i="4"/>
  <c r="Y136" i="4"/>
  <c r="V136" i="4"/>
  <c r="V135" i="4"/>
  <c r="T135" i="4"/>
  <c r="Y135" i="4"/>
  <c r="AB134" i="4"/>
  <c r="Z134" i="4"/>
  <c r="T115" i="4"/>
  <c r="Y115" i="4"/>
  <c r="V115" i="4"/>
  <c r="N114" i="4"/>
  <c r="S114" i="4"/>
  <c r="T112" i="4"/>
  <c r="Y112" i="4"/>
  <c r="V112" i="4"/>
  <c r="T111" i="4"/>
  <c r="Y111" i="4"/>
  <c r="V111" i="4"/>
  <c r="T110" i="4"/>
  <c r="Y110" i="4"/>
  <c r="V110" i="4"/>
  <c r="T113" i="4"/>
  <c r="Y113" i="4"/>
  <c r="V113" i="4"/>
  <c r="N109" i="4"/>
  <c r="S109" i="4"/>
  <c r="AB88" i="4"/>
  <c r="Z88" i="4"/>
  <c r="AB89" i="4"/>
  <c r="Z89" i="4"/>
  <c r="T90" i="4"/>
  <c r="Y90" i="4"/>
  <c r="V90" i="4"/>
  <c r="AB91" i="4"/>
  <c r="Z91" i="4"/>
  <c r="AB87" i="4"/>
  <c r="Z87" i="4"/>
  <c r="T65" i="4"/>
  <c r="Y65" i="4"/>
  <c r="V65" i="4"/>
  <c r="V64" i="4"/>
  <c r="T64" i="4"/>
  <c r="Y64" i="4"/>
  <c r="T66" i="4"/>
  <c r="Y66" i="4"/>
  <c r="V66" i="4"/>
  <c r="T67" i="4"/>
  <c r="Y67" i="4"/>
  <c r="V67" i="4"/>
  <c r="T68" i="4"/>
  <c r="V68" i="4"/>
  <c r="Y68" i="4"/>
  <c r="T44" i="4"/>
  <c r="Y44" i="4"/>
  <c r="V44" i="4"/>
  <c r="T42" i="4"/>
  <c r="Y42" i="4"/>
  <c r="V42" i="4"/>
  <c r="T43" i="4"/>
  <c r="Y43" i="4"/>
  <c r="V43" i="4"/>
  <c r="Y21" i="4"/>
  <c r="V21" i="4"/>
  <c r="V41" i="4"/>
  <c r="T41" i="4"/>
  <c r="Y41" i="4"/>
  <c r="V45" i="4"/>
  <c r="T45" i="4"/>
  <c r="Y45" i="4"/>
  <c r="T18" i="4"/>
  <c r="Y18" i="4"/>
  <c r="V18" i="4"/>
  <c r="V17" i="4"/>
  <c r="T17" i="4"/>
  <c r="Y17" i="4"/>
  <c r="AR152" i="7" l="1"/>
  <c r="AT152" i="7"/>
  <c r="AX158" i="5"/>
  <c r="AV158" i="5"/>
  <c r="AU110" i="5"/>
  <c r="AQ110" i="5"/>
  <c r="AX154" i="5"/>
  <c r="AV154" i="5"/>
  <c r="AL148" i="6"/>
  <c r="AS140" i="7"/>
  <c r="O45" i="13"/>
  <c r="P45" i="13" s="1"/>
  <c r="O137" i="13"/>
  <c r="P137" i="13" s="1"/>
  <c r="O160" i="13"/>
  <c r="O44" i="13"/>
  <c r="P44" i="13" s="1"/>
  <c r="O136" i="13"/>
  <c r="P136" i="13" s="1"/>
  <c r="AU140" i="7"/>
  <c r="O43" i="13"/>
  <c r="P43" i="13" s="1"/>
  <c r="O135" i="13"/>
  <c r="P135" i="13" s="1"/>
  <c r="O65" i="13"/>
  <c r="P65" i="13" s="1"/>
  <c r="O42" i="13"/>
  <c r="P42" i="13" s="1"/>
  <c r="O134" i="13"/>
  <c r="O64" i="13"/>
  <c r="O41" i="13"/>
  <c r="AB21" i="4"/>
  <c r="O68" i="13"/>
  <c r="P68" i="13" s="1"/>
  <c r="AA167" i="7"/>
  <c r="Z22" i="7"/>
  <c r="AM46" i="7"/>
  <c r="Y20" i="13"/>
  <c r="X20" i="13"/>
  <c r="AU68" i="7"/>
  <c r="AS68" i="7"/>
  <c r="X21" i="13"/>
  <c r="Y21" i="13"/>
  <c r="AV21" i="29"/>
  <c r="AX21" i="29"/>
  <c r="AF165" i="7"/>
  <c r="AG165" i="7" s="1"/>
  <c r="AI165" i="7"/>
  <c r="AJ165" i="7" s="1"/>
  <c r="X18" i="13"/>
  <c r="Y18" i="13"/>
  <c r="E39" i="18"/>
  <c r="AM68" i="7"/>
  <c r="AT68" i="7"/>
  <c r="AO116" i="7"/>
  <c r="AP116" i="7" s="1"/>
  <c r="AR116" i="7" s="1"/>
  <c r="AJ116" i="7"/>
  <c r="AL116" i="7" s="1"/>
  <c r="AT140" i="7"/>
  <c r="AF164" i="7"/>
  <c r="AG164" i="7" s="1"/>
  <c r="AI164" i="7"/>
  <c r="AJ164" i="7" s="1"/>
  <c r="E40" i="18"/>
  <c r="AP46" i="7"/>
  <c r="AA165" i="7"/>
  <c r="AC21" i="7"/>
  <c r="AD166" i="7"/>
  <c r="AM47" i="7"/>
  <c r="AF44" i="7"/>
  <c r="AI44" i="7"/>
  <c r="AP47" i="7"/>
  <c r="AC22" i="7"/>
  <c r="AD167" i="7"/>
  <c r="AA166" i="7"/>
  <c r="Z21" i="7"/>
  <c r="AL21" i="5"/>
  <c r="M65" i="13"/>
  <c r="M135" i="13"/>
  <c r="L135" i="13"/>
  <c r="M158" i="13"/>
  <c r="L158" i="13"/>
  <c r="M43" i="13"/>
  <c r="L43" i="13"/>
  <c r="M157" i="13"/>
  <c r="L157" i="13"/>
  <c r="M42" i="13"/>
  <c r="L42" i="13"/>
  <c r="L44" i="13"/>
  <c r="M44" i="13"/>
  <c r="L136" i="13"/>
  <c r="M136" i="13"/>
  <c r="L159" i="13"/>
  <c r="M159" i="13"/>
  <c r="Y20" i="4"/>
  <c r="L67" i="13"/>
  <c r="M67" i="13"/>
  <c r="V20" i="4"/>
  <c r="T20" i="4"/>
  <c r="L66" i="13"/>
  <c r="M66" i="13"/>
  <c r="T19" i="4"/>
  <c r="Y19" i="4"/>
  <c r="V19" i="4"/>
  <c r="AX169" i="29"/>
  <c r="AV169" i="29"/>
  <c r="AX130" i="29"/>
  <c r="AV130" i="29"/>
  <c r="AV91" i="29"/>
  <c r="AX91" i="29"/>
  <c r="AV87" i="29"/>
  <c r="AX87" i="29"/>
  <c r="AX42" i="29"/>
  <c r="AV42" i="29"/>
  <c r="AQ153" i="5"/>
  <c r="AU153" i="5"/>
  <c r="AQ169" i="5"/>
  <c r="AX161" i="5"/>
  <c r="AV161" i="5"/>
  <c r="AU156" i="5"/>
  <c r="AQ156" i="5"/>
  <c r="AX155" i="5"/>
  <c r="AV155" i="5"/>
  <c r="AX157" i="5"/>
  <c r="AV157" i="5"/>
  <c r="AX159" i="5"/>
  <c r="AV159" i="5"/>
  <c r="AU137" i="5"/>
  <c r="AQ137" i="5"/>
  <c r="AP21" i="5"/>
  <c r="U91" i="13" s="1"/>
  <c r="AU133" i="5"/>
  <c r="AQ133" i="5"/>
  <c r="AX130" i="5"/>
  <c r="AV130" i="5"/>
  <c r="AQ146" i="5"/>
  <c r="AX131" i="5"/>
  <c r="AV131" i="5"/>
  <c r="AX135" i="5"/>
  <c r="AV135" i="5"/>
  <c r="AX115" i="5"/>
  <c r="AV115" i="5"/>
  <c r="AX113" i="5"/>
  <c r="AV113" i="5"/>
  <c r="AX111" i="5"/>
  <c r="AV111" i="5"/>
  <c r="AX112" i="5"/>
  <c r="AV112" i="5"/>
  <c r="AX108" i="5"/>
  <c r="AV108" i="5"/>
  <c r="AX109" i="5"/>
  <c r="AV109" i="5"/>
  <c r="AX86" i="5"/>
  <c r="AV86" i="5"/>
  <c r="AX89" i="5"/>
  <c r="AV89" i="5"/>
  <c r="AX85" i="5"/>
  <c r="AV85" i="5"/>
  <c r="AX90" i="5"/>
  <c r="AV90" i="5"/>
  <c r="AQ63" i="5"/>
  <c r="AU63" i="5"/>
  <c r="AX67" i="5"/>
  <c r="AV67" i="5"/>
  <c r="AB184" i="4"/>
  <c r="Z184" i="4"/>
  <c r="AB181" i="4"/>
  <c r="Z181" i="4"/>
  <c r="AB182" i="4"/>
  <c r="Z182" i="4"/>
  <c r="Z180" i="4"/>
  <c r="AB180" i="4"/>
  <c r="AB183" i="4"/>
  <c r="Z183" i="4"/>
  <c r="Z178" i="4"/>
  <c r="AB178" i="4"/>
  <c r="T176" i="4"/>
  <c r="V176" i="4"/>
  <c r="Y176" i="4"/>
  <c r="T179" i="4"/>
  <c r="V179" i="4"/>
  <c r="Y179" i="4"/>
  <c r="Z177" i="4"/>
  <c r="AB177" i="4"/>
  <c r="AB161" i="4"/>
  <c r="Z161" i="4"/>
  <c r="AB160" i="4"/>
  <c r="Z160" i="4"/>
  <c r="AB159" i="4"/>
  <c r="Z159" i="4"/>
  <c r="Z158" i="4"/>
  <c r="AB158" i="4"/>
  <c r="AB157" i="4"/>
  <c r="Z157" i="4"/>
  <c r="Z138" i="4"/>
  <c r="AB138" i="4"/>
  <c r="AB137" i="4"/>
  <c r="Z137" i="4"/>
  <c r="AB136" i="4"/>
  <c r="Z136" i="4"/>
  <c r="Z135" i="4"/>
  <c r="AB135" i="4"/>
  <c r="AE134" i="4"/>
  <c r="AC134" i="4"/>
  <c r="T114" i="4"/>
  <c r="V114" i="4"/>
  <c r="Y114" i="4"/>
  <c r="Z115" i="4"/>
  <c r="F120" i="27" s="1"/>
  <c r="AB115" i="4"/>
  <c r="Z112" i="4"/>
  <c r="AB112" i="4"/>
  <c r="AB111" i="4"/>
  <c r="Z111" i="4"/>
  <c r="AB110" i="4"/>
  <c r="Z110" i="4"/>
  <c r="AB113" i="4"/>
  <c r="Z113" i="4"/>
  <c r="T109" i="4"/>
  <c r="V109" i="4"/>
  <c r="Y109" i="4"/>
  <c r="AE88" i="4"/>
  <c r="AC88" i="4"/>
  <c r="AC89" i="4"/>
  <c r="AE89" i="4"/>
  <c r="AB90" i="4"/>
  <c r="Z90" i="4"/>
  <c r="AE91" i="4"/>
  <c r="AC91" i="4"/>
  <c r="AE87" i="4"/>
  <c r="AC87" i="4"/>
  <c r="AB65" i="4"/>
  <c r="Z65" i="4"/>
  <c r="Z64" i="4"/>
  <c r="AB64" i="4"/>
  <c r="Z66" i="4"/>
  <c r="AB66" i="4"/>
  <c r="Z67" i="4"/>
  <c r="AB67" i="4"/>
  <c r="AB68" i="4"/>
  <c r="Z68" i="4"/>
  <c r="Z44" i="4"/>
  <c r="AB44" i="4"/>
  <c r="AB42" i="4"/>
  <c r="Z42" i="4"/>
  <c r="AB43" i="4"/>
  <c r="Q43" i="13" s="1"/>
  <c r="Z43" i="4"/>
  <c r="Z21" i="4"/>
  <c r="Z41" i="4"/>
  <c r="AB41" i="4"/>
  <c r="Z45" i="4"/>
  <c r="AB45" i="4"/>
  <c r="Q45" i="13" s="1"/>
  <c r="Z18" i="4"/>
  <c r="AB18" i="4"/>
  <c r="Z17" i="4"/>
  <c r="AB17" i="4"/>
  <c r="AV110" i="5" l="1"/>
  <c r="AX110" i="5"/>
  <c r="R45" i="13"/>
  <c r="O67" i="13"/>
  <c r="P67" i="13" s="1"/>
  <c r="Q44" i="13"/>
  <c r="R44" i="13" s="1"/>
  <c r="AX146" i="5"/>
  <c r="Q68" i="13"/>
  <c r="R68" i="13" s="1"/>
  <c r="Q42" i="13"/>
  <c r="R42" i="13" s="1"/>
  <c r="Q65" i="13"/>
  <c r="R65" i="13" s="1"/>
  <c r="Q64" i="13"/>
  <c r="Q41" i="13"/>
  <c r="AE21" i="4"/>
  <c r="AF21" i="4" s="1"/>
  <c r="AC21" i="4"/>
  <c r="O66" i="13"/>
  <c r="P66" i="13" s="1"/>
  <c r="AF167" i="7"/>
  <c r="AI167" i="7"/>
  <c r="AD22" i="7"/>
  <c r="AJ44" i="7"/>
  <c r="AL165" i="7"/>
  <c r="AO165" i="7"/>
  <c r="AP165" i="7" s="1"/>
  <c r="AR165" i="7" s="1"/>
  <c r="E279" i="22"/>
  <c r="E280" i="22" s="1"/>
  <c r="E281" i="22" s="1"/>
  <c r="E283" i="22" s="1"/>
  <c r="Q137" i="13"/>
  <c r="R137" i="13" s="1"/>
  <c r="AA22" i="7"/>
  <c r="AM116" i="7"/>
  <c r="AT116" i="7"/>
  <c r="E243" i="22"/>
  <c r="E244" i="22" s="1"/>
  <c r="E245" i="22" s="1"/>
  <c r="E247" i="22" s="1"/>
  <c r="Q136" i="13"/>
  <c r="R136" i="13" s="1"/>
  <c r="AA21" i="7"/>
  <c r="AR47" i="7"/>
  <c r="AG44" i="7"/>
  <c r="AF166" i="7"/>
  <c r="AI166" i="7"/>
  <c r="AD21" i="7"/>
  <c r="AR46" i="7"/>
  <c r="AL164" i="7"/>
  <c r="AM164" i="7" s="1"/>
  <c r="AO164" i="7"/>
  <c r="AP164" i="7" s="1"/>
  <c r="AR164" i="7" s="1"/>
  <c r="AU116" i="7"/>
  <c r="AS116" i="7"/>
  <c r="AQ21" i="5"/>
  <c r="Q159" i="13"/>
  <c r="R43" i="13"/>
  <c r="Q158" i="13"/>
  <c r="Z20" i="4"/>
  <c r="AB20" i="4"/>
  <c r="Q67" i="13" s="1"/>
  <c r="AB19" i="4"/>
  <c r="Z19" i="4"/>
  <c r="AX146" i="29"/>
  <c r="AV146" i="29"/>
  <c r="AV156" i="5"/>
  <c r="AX156" i="5"/>
  <c r="AX153" i="5"/>
  <c r="AV153" i="5"/>
  <c r="AV133" i="5"/>
  <c r="AX133" i="5"/>
  <c r="AV137" i="5"/>
  <c r="AX137" i="5"/>
  <c r="AU21" i="5"/>
  <c r="W91" i="13" s="1"/>
  <c r="AX63" i="5"/>
  <c r="AV63" i="5"/>
  <c r="AE184" i="4"/>
  <c r="AC184" i="4"/>
  <c r="AE181" i="4"/>
  <c r="AC181" i="4"/>
  <c r="AE182" i="4"/>
  <c r="AC182" i="4"/>
  <c r="AE180" i="4"/>
  <c r="AC180" i="4"/>
  <c r="AE183" i="4"/>
  <c r="AC183" i="4"/>
  <c r="AB176" i="4"/>
  <c r="Z176" i="4"/>
  <c r="AC178" i="4"/>
  <c r="AE178" i="4"/>
  <c r="AB179" i="4"/>
  <c r="Z179" i="4"/>
  <c r="AE177" i="4"/>
  <c r="AC177" i="4"/>
  <c r="AE161" i="4"/>
  <c r="AC161" i="4"/>
  <c r="AE160" i="4"/>
  <c r="AC160" i="4"/>
  <c r="AE159" i="4"/>
  <c r="AC159" i="4"/>
  <c r="AE158" i="4"/>
  <c r="AC158" i="4"/>
  <c r="AE157" i="4"/>
  <c r="AC157" i="4"/>
  <c r="AE138" i="4"/>
  <c r="AC138" i="4"/>
  <c r="AE137" i="4"/>
  <c r="AC137" i="4"/>
  <c r="AE136" i="4"/>
  <c r="AC136" i="4"/>
  <c r="AE135" i="4"/>
  <c r="AC135" i="4"/>
  <c r="AH134" i="4"/>
  <c r="AF134" i="4"/>
  <c r="AE115" i="4"/>
  <c r="AC115" i="4"/>
  <c r="AB114" i="4"/>
  <c r="Z114" i="4"/>
  <c r="AE112" i="4"/>
  <c r="AC112" i="4"/>
  <c r="AE111" i="4"/>
  <c r="AC111" i="4"/>
  <c r="AE110" i="4"/>
  <c r="AC110" i="4"/>
  <c r="AE113" i="4"/>
  <c r="AC113" i="4"/>
  <c r="AB109" i="4"/>
  <c r="Z109" i="4"/>
  <c r="AH88" i="4"/>
  <c r="AF88" i="4"/>
  <c r="AH89" i="4"/>
  <c r="AF89" i="4"/>
  <c r="AE90" i="4"/>
  <c r="AC90" i="4"/>
  <c r="AH91" i="4"/>
  <c r="AF91" i="4"/>
  <c r="AH87" i="4"/>
  <c r="AF87" i="4"/>
  <c r="AE65" i="4"/>
  <c r="AC65" i="4"/>
  <c r="AE64" i="4"/>
  <c r="AC64" i="4"/>
  <c r="AE66" i="4"/>
  <c r="AC66" i="4"/>
  <c r="AE67" i="4"/>
  <c r="AC67" i="4"/>
  <c r="AE68" i="4"/>
  <c r="AC68" i="4"/>
  <c r="AE44" i="4"/>
  <c r="AC44" i="4"/>
  <c r="AE42" i="4"/>
  <c r="AC42" i="4"/>
  <c r="AE43" i="4"/>
  <c r="S43" i="13" s="1"/>
  <c r="AC43" i="4"/>
  <c r="AE41" i="4"/>
  <c r="AC41" i="4"/>
  <c r="AE45" i="4"/>
  <c r="S45" i="13" s="1"/>
  <c r="T45" i="13" s="1"/>
  <c r="AC45" i="4"/>
  <c r="AE18" i="4"/>
  <c r="AC18" i="4"/>
  <c r="AE17" i="4"/>
  <c r="AC17" i="4"/>
  <c r="AH21" i="4" l="1"/>
  <c r="AK21" i="4" s="1"/>
  <c r="AV146" i="5"/>
  <c r="R67" i="13"/>
  <c r="S68" i="13"/>
  <c r="T68" i="13" s="1"/>
  <c r="S44" i="13"/>
  <c r="T44" i="13" s="1"/>
  <c r="S42" i="13"/>
  <c r="T42" i="13" s="1"/>
  <c r="S65" i="13"/>
  <c r="T65" i="13" s="1"/>
  <c r="S64" i="13"/>
  <c r="S41" i="13"/>
  <c r="Q66" i="13"/>
  <c r="R66" i="13" s="1"/>
  <c r="AG166" i="7"/>
  <c r="AF21" i="7"/>
  <c r="AT46" i="7"/>
  <c r="AU46" i="7"/>
  <c r="AS46" i="7"/>
  <c r="AS47" i="7"/>
  <c r="AU47" i="7"/>
  <c r="AT47" i="7"/>
  <c r="E256" i="22"/>
  <c r="E258" i="22" s="1"/>
  <c r="E248" i="22"/>
  <c r="AL44" i="7"/>
  <c r="AO44" i="7"/>
  <c r="AG167" i="7"/>
  <c r="AF22" i="7"/>
  <c r="AJ167" i="7"/>
  <c r="AI22" i="7"/>
  <c r="AT164" i="7"/>
  <c r="AU164" i="7"/>
  <c r="AS164" i="7"/>
  <c r="F39" i="18"/>
  <c r="E292" i="22"/>
  <c r="E294" i="22" s="1"/>
  <c r="E284" i="22"/>
  <c r="AM165" i="7"/>
  <c r="AT165" i="7"/>
  <c r="AI21" i="7"/>
  <c r="AJ166" i="7"/>
  <c r="AU165" i="7"/>
  <c r="AS165" i="7"/>
  <c r="F40" i="18"/>
  <c r="AX21" i="5"/>
  <c r="AV21" i="5"/>
  <c r="AC19" i="4"/>
  <c r="T43" i="13"/>
  <c r="S158" i="13"/>
  <c r="T158" i="13" s="1"/>
  <c r="S159" i="13"/>
  <c r="T159" i="13" s="1"/>
  <c r="AC20" i="4"/>
  <c r="AE20" i="4"/>
  <c r="S67" i="13" s="1"/>
  <c r="AE19" i="4"/>
  <c r="AV169" i="5"/>
  <c r="AH184" i="4"/>
  <c r="AF184" i="4"/>
  <c r="AH181" i="4"/>
  <c r="AF181" i="4"/>
  <c r="AH182" i="4"/>
  <c r="AF182" i="4"/>
  <c r="AH180" i="4"/>
  <c r="AF180" i="4"/>
  <c r="AH183" i="4"/>
  <c r="AF183" i="4"/>
  <c r="AC179" i="4"/>
  <c r="AE179" i="4"/>
  <c r="AH178" i="4"/>
  <c r="AF178" i="4"/>
  <c r="AC176" i="4"/>
  <c r="AE176" i="4"/>
  <c r="AF177" i="4"/>
  <c r="AH177" i="4"/>
  <c r="AH161" i="4"/>
  <c r="AF161" i="4"/>
  <c r="AH160" i="4"/>
  <c r="AF160" i="4"/>
  <c r="AH159" i="4"/>
  <c r="AF159" i="4"/>
  <c r="AH158" i="4"/>
  <c r="AF158" i="4"/>
  <c r="AH157" i="4"/>
  <c r="AF157" i="4"/>
  <c r="AH138" i="4"/>
  <c r="AF138" i="4"/>
  <c r="AH137" i="4"/>
  <c r="AF137" i="4"/>
  <c r="AH136" i="4"/>
  <c r="AF136" i="4"/>
  <c r="AH135" i="4"/>
  <c r="AF135" i="4"/>
  <c r="AK134" i="4"/>
  <c r="AI134" i="4"/>
  <c r="AC114" i="4"/>
  <c r="AE114" i="4"/>
  <c r="AF115" i="4"/>
  <c r="AH115" i="4"/>
  <c r="AH112" i="4"/>
  <c r="AF112" i="4"/>
  <c r="AH111" i="4"/>
  <c r="AK111" i="4" s="1"/>
  <c r="AF111" i="4"/>
  <c r="AH110" i="4"/>
  <c r="AF110" i="4"/>
  <c r="AH113" i="4"/>
  <c r="AF113" i="4"/>
  <c r="AC109" i="4"/>
  <c r="AE109" i="4"/>
  <c r="AK88" i="4"/>
  <c r="AI88" i="4"/>
  <c r="AK89" i="4"/>
  <c r="AI89" i="4"/>
  <c r="AH90" i="4"/>
  <c r="AF90" i="4"/>
  <c r="AK91" i="4"/>
  <c r="AI91" i="4"/>
  <c r="AK87" i="4"/>
  <c r="AI87" i="4"/>
  <c r="AH65" i="4"/>
  <c r="AF65" i="4"/>
  <c r="AH64" i="4"/>
  <c r="AF64" i="4"/>
  <c r="AH66" i="4"/>
  <c r="AF66" i="4"/>
  <c r="AH67" i="4"/>
  <c r="AF67" i="4"/>
  <c r="AF68" i="4"/>
  <c r="AH68" i="4"/>
  <c r="AH44" i="4"/>
  <c r="AF44" i="4"/>
  <c r="AH42" i="4"/>
  <c r="AF42" i="4"/>
  <c r="AH43" i="4"/>
  <c r="U43" i="13" s="1"/>
  <c r="AF43" i="4"/>
  <c r="AH41" i="4"/>
  <c r="AF41" i="4"/>
  <c r="AH45" i="4"/>
  <c r="U45" i="13" s="1"/>
  <c r="V45" i="13" s="1"/>
  <c r="AF45" i="4"/>
  <c r="AH18" i="4"/>
  <c r="AF18" i="4"/>
  <c r="AH17" i="4"/>
  <c r="AF17" i="4"/>
  <c r="AI21" i="4" l="1"/>
  <c r="S136" i="13"/>
  <c r="T136" i="13" s="1"/>
  <c r="T67" i="13"/>
  <c r="U68" i="13"/>
  <c r="V68" i="13" s="1"/>
  <c r="U44" i="13"/>
  <c r="V44" i="13" s="1"/>
  <c r="U42" i="13"/>
  <c r="V42" i="13" s="1"/>
  <c r="U65" i="13"/>
  <c r="V65" i="13" s="1"/>
  <c r="U64" i="13"/>
  <c r="U41" i="13"/>
  <c r="S66" i="13"/>
  <c r="T66" i="13" s="1"/>
  <c r="AL167" i="7"/>
  <c r="AO167" i="7"/>
  <c r="AJ22" i="7"/>
  <c r="F279" i="22"/>
  <c r="F280" i="22" s="1"/>
  <c r="F281" i="22" s="1"/>
  <c r="F283" i="22" s="1"/>
  <c r="S137" i="13"/>
  <c r="T137" i="13" s="1"/>
  <c r="AG22" i="7"/>
  <c r="AM44" i="7"/>
  <c r="AL166" i="7"/>
  <c r="AO166" i="7"/>
  <c r="AJ21" i="7"/>
  <c r="F243" i="22"/>
  <c r="F244" i="22" s="1"/>
  <c r="F245" i="22" s="1"/>
  <c r="F247" i="22" s="1"/>
  <c r="AG21" i="7"/>
  <c r="AP44" i="7"/>
  <c r="AH20" i="4"/>
  <c r="U67" i="13" s="1"/>
  <c r="AF20" i="4"/>
  <c r="AH19" i="4"/>
  <c r="AF19" i="4"/>
  <c r="V43" i="13"/>
  <c r="U158" i="13"/>
  <c r="V158" i="13" s="1"/>
  <c r="U159" i="13"/>
  <c r="V159" i="13" s="1"/>
  <c r="AK184" i="4"/>
  <c r="AI184" i="4"/>
  <c r="AK181" i="4"/>
  <c r="AI181" i="4"/>
  <c r="AK182" i="4"/>
  <c r="AI182" i="4"/>
  <c r="AK180" i="4"/>
  <c r="AI180" i="4"/>
  <c r="AI183" i="4"/>
  <c r="AK183" i="4"/>
  <c r="AF176" i="4"/>
  <c r="AH176" i="4"/>
  <c r="AI178" i="4"/>
  <c r="AK178" i="4"/>
  <c r="AF179" i="4"/>
  <c r="AH179" i="4"/>
  <c r="AK177" i="4"/>
  <c r="AI177" i="4"/>
  <c r="AK161" i="4"/>
  <c r="AI161" i="4"/>
  <c r="AK160" i="4"/>
  <c r="AI160" i="4"/>
  <c r="AK159" i="4"/>
  <c r="AI159" i="4"/>
  <c r="AI158" i="4"/>
  <c r="AK158" i="4"/>
  <c r="AK157" i="4"/>
  <c r="AI157" i="4"/>
  <c r="AK138" i="4"/>
  <c r="AI138" i="4"/>
  <c r="AK137" i="4"/>
  <c r="AI137" i="4"/>
  <c r="AK136" i="4"/>
  <c r="AI136" i="4"/>
  <c r="AI135" i="4"/>
  <c r="AK135" i="4"/>
  <c r="AN134" i="4"/>
  <c r="AL134" i="4"/>
  <c r="AI115" i="4"/>
  <c r="AK115" i="4"/>
  <c r="AF114" i="4"/>
  <c r="AH114" i="4"/>
  <c r="AK112" i="4"/>
  <c r="AI112" i="4"/>
  <c r="AI111" i="4"/>
  <c r="AK110" i="4"/>
  <c r="AI110" i="4"/>
  <c r="AK113" i="4"/>
  <c r="AI113" i="4"/>
  <c r="AF109" i="4"/>
  <c r="AH109" i="4"/>
  <c r="AN88" i="4"/>
  <c r="AL88" i="4"/>
  <c r="AN89" i="4"/>
  <c r="AL89" i="4"/>
  <c r="AK90" i="4"/>
  <c r="AI90" i="4"/>
  <c r="AN91" i="4"/>
  <c r="AL91" i="4"/>
  <c r="AL87" i="4"/>
  <c r="AN87" i="4"/>
  <c r="AI65" i="4"/>
  <c r="AK65" i="4"/>
  <c r="AK64" i="4"/>
  <c r="AI64" i="4"/>
  <c r="AI66" i="4"/>
  <c r="AK66" i="4"/>
  <c r="AI67" i="4"/>
  <c r="AK67" i="4"/>
  <c r="AK68" i="4"/>
  <c r="AI68" i="4"/>
  <c r="AK44" i="4"/>
  <c r="AI44" i="4"/>
  <c r="AK42" i="4"/>
  <c r="AI42" i="4"/>
  <c r="AK43" i="4"/>
  <c r="W43" i="13" s="1"/>
  <c r="AI43" i="4"/>
  <c r="AI41" i="4"/>
  <c r="AK41" i="4"/>
  <c r="AI45" i="4"/>
  <c r="AK45" i="4"/>
  <c r="W45" i="13" s="1"/>
  <c r="AL21" i="4"/>
  <c r="AN21" i="4"/>
  <c r="AK18" i="4"/>
  <c r="AI18" i="4"/>
  <c r="AK17" i="4"/>
  <c r="AI17" i="4"/>
  <c r="Y45" i="13" l="1"/>
  <c r="X45" i="13"/>
  <c r="W68" i="13"/>
  <c r="V67" i="13"/>
  <c r="W44" i="13"/>
  <c r="W65" i="13"/>
  <c r="X65" i="13" s="1"/>
  <c r="W42" i="13"/>
  <c r="W64" i="13"/>
  <c r="W41" i="13"/>
  <c r="AK19" i="4"/>
  <c r="W66" i="13" s="1"/>
  <c r="U66" i="13"/>
  <c r="V66" i="13" s="1"/>
  <c r="AR44" i="7"/>
  <c r="G39" i="18"/>
  <c r="AM167" i="7"/>
  <c r="AL22" i="7"/>
  <c r="AP166" i="7"/>
  <c r="AO21" i="7"/>
  <c r="F292" i="22"/>
  <c r="F294" i="22" s="1"/>
  <c r="F284" i="22"/>
  <c r="AP167" i="7"/>
  <c r="AO22" i="7"/>
  <c r="F256" i="22"/>
  <c r="F258" i="22" s="1"/>
  <c r="F248" i="22"/>
  <c r="AM166" i="7"/>
  <c r="AL21" i="7"/>
  <c r="G40" i="18"/>
  <c r="AK20" i="4"/>
  <c r="W67" i="13" s="1"/>
  <c r="AI20" i="4"/>
  <c r="AI19" i="4"/>
  <c r="W158" i="13"/>
  <c r="W159" i="13"/>
  <c r="AN184" i="4"/>
  <c r="AL184" i="4"/>
  <c r="AN181" i="4"/>
  <c r="AL181" i="4"/>
  <c r="AN182" i="4"/>
  <c r="AL182" i="4"/>
  <c r="AN180" i="4"/>
  <c r="AL180" i="4"/>
  <c r="AL183" i="4"/>
  <c r="AN183" i="4"/>
  <c r="AI179" i="4"/>
  <c r="AK179" i="4"/>
  <c r="AL178" i="4"/>
  <c r="AN178" i="4"/>
  <c r="AI176" i="4"/>
  <c r="AK176" i="4"/>
  <c r="AL177" i="4"/>
  <c r="AN177" i="4"/>
  <c r="AN161" i="4"/>
  <c r="AL161" i="4"/>
  <c r="AN160" i="4"/>
  <c r="AL160" i="4"/>
  <c r="AN159" i="4"/>
  <c r="AL159" i="4"/>
  <c r="AL158" i="4"/>
  <c r="AN158" i="4"/>
  <c r="AN157" i="4"/>
  <c r="AL157" i="4"/>
  <c r="AN138" i="4"/>
  <c r="AL138" i="4"/>
  <c r="AL137" i="4"/>
  <c r="AN137" i="4"/>
  <c r="AL136" i="4"/>
  <c r="AN136" i="4"/>
  <c r="AN135" i="4"/>
  <c r="AL135" i="4"/>
  <c r="AI114" i="4"/>
  <c r="AK114" i="4"/>
  <c r="AL115" i="4"/>
  <c r="AN115" i="4"/>
  <c r="AL112" i="4"/>
  <c r="AN112" i="4"/>
  <c r="AL111" i="4"/>
  <c r="AN111" i="4"/>
  <c r="AL110" i="4"/>
  <c r="AN110" i="4"/>
  <c r="AL113" i="4"/>
  <c r="AN113" i="4"/>
  <c r="AI109" i="4"/>
  <c r="AK109" i="4"/>
  <c r="AN90" i="4"/>
  <c r="AL90" i="4"/>
  <c r="AL65" i="4"/>
  <c r="AN65" i="4"/>
  <c r="AN64" i="4"/>
  <c r="AL64" i="4"/>
  <c r="AL66" i="4"/>
  <c r="AN66" i="4"/>
  <c r="AL67" i="4"/>
  <c r="AN67" i="4"/>
  <c r="AL68" i="4"/>
  <c r="AN68" i="4"/>
  <c r="AL44" i="4"/>
  <c r="AN44" i="4"/>
  <c r="AL42" i="4"/>
  <c r="AN42" i="4"/>
  <c r="AL43" i="4"/>
  <c r="AN43" i="4"/>
  <c r="AN41" i="4"/>
  <c r="AL41" i="4"/>
  <c r="AN45" i="4"/>
  <c r="AL45" i="4"/>
  <c r="AL19" i="4"/>
  <c r="AL18" i="4"/>
  <c r="AN18" i="4"/>
  <c r="AL17" i="4"/>
  <c r="AN17" i="4"/>
  <c r="AE16" i="7"/>
  <c r="H112" i="7"/>
  <c r="AN19" i="4" l="1"/>
  <c r="Y68" i="13"/>
  <c r="X68" i="13"/>
  <c r="G243" i="22"/>
  <c r="G244" i="22" s="1"/>
  <c r="G245" i="22" s="1"/>
  <c r="G247" i="22" s="1"/>
  <c r="AM21" i="7"/>
  <c r="U136" i="13"/>
  <c r="V136" i="13" s="1"/>
  <c r="AR166" i="7"/>
  <c r="AP21" i="7"/>
  <c r="G279" i="22"/>
  <c r="G280" i="22" s="1"/>
  <c r="G281" i="22" s="1"/>
  <c r="G283" i="22" s="1"/>
  <c r="U137" i="13"/>
  <c r="V137" i="13" s="1"/>
  <c r="AM22" i="7"/>
  <c r="AR167" i="7"/>
  <c r="AP22" i="7"/>
  <c r="AU44" i="7"/>
  <c r="AS44" i="7"/>
  <c r="AT44" i="7"/>
  <c r="AN20" i="4"/>
  <c r="AL20" i="4"/>
  <c r="Y67" i="13"/>
  <c r="X67" i="13"/>
  <c r="X66" i="13"/>
  <c r="Y66" i="13"/>
  <c r="Y65" i="13"/>
  <c r="X158" i="13"/>
  <c r="X42" i="13"/>
  <c r="Y42" i="13"/>
  <c r="X159" i="13"/>
  <c r="Y44" i="13"/>
  <c r="X44" i="13"/>
  <c r="Y43" i="13"/>
  <c r="X43" i="13"/>
  <c r="AL176" i="4"/>
  <c r="AN176" i="4"/>
  <c r="AN179" i="4"/>
  <c r="AL179" i="4"/>
  <c r="AL114" i="4"/>
  <c r="AN114" i="4"/>
  <c r="AL109" i="4"/>
  <c r="AN109" i="4"/>
  <c r="H40" i="18" l="1"/>
  <c r="I40" i="18" s="1"/>
  <c r="I124" i="18"/>
  <c r="I123" i="18"/>
  <c r="H39" i="18"/>
  <c r="I39" i="18" s="1"/>
  <c r="AS167" i="7"/>
  <c r="AU167" i="7"/>
  <c r="AR22" i="7"/>
  <c r="AT22" i="7" s="1"/>
  <c r="AT167" i="7"/>
  <c r="G292" i="22"/>
  <c r="G294" i="22" s="1"/>
  <c r="G284" i="22"/>
  <c r="AU166" i="7"/>
  <c r="AS166" i="7"/>
  <c r="AR21" i="7"/>
  <c r="AT21" i="7" s="1"/>
  <c r="AT166" i="7"/>
  <c r="G256" i="22"/>
  <c r="G258" i="22" s="1"/>
  <c r="G248" i="22"/>
  <c r="H279" i="22" l="1"/>
  <c r="W137" i="13"/>
  <c r="AU22" i="7"/>
  <c r="AS22" i="7"/>
  <c r="H243" i="22"/>
  <c r="AU21" i="7"/>
  <c r="AS21" i="7"/>
  <c r="W136" i="13"/>
  <c r="X14" i="9"/>
  <c r="H14" i="9"/>
  <c r="Y137" i="13" l="1"/>
  <c r="X137" i="13"/>
  <c r="I279" i="22"/>
  <c r="H280" i="22"/>
  <c r="H281" i="22" s="1"/>
  <c r="H283" i="22" s="1"/>
  <c r="I243" i="22"/>
  <c r="H244" i="22"/>
  <c r="H245" i="22" s="1"/>
  <c r="H247" i="22" s="1"/>
  <c r="Y136" i="13"/>
  <c r="X136" i="13"/>
  <c r="AM38" i="4"/>
  <c r="AM39" i="4"/>
  <c r="AM40" i="4"/>
  <c r="AM46" i="4"/>
  <c r="J259" i="26"/>
  <c r="J260" i="26"/>
  <c r="J258" i="26"/>
  <c r="J279" i="22" l="1"/>
  <c r="I280" i="22"/>
  <c r="I281" i="22" s="1"/>
  <c r="I283" i="22" s="1"/>
  <c r="J243" i="22"/>
  <c r="I244" i="22"/>
  <c r="I245" i="22" s="1"/>
  <c r="I247" i="22" s="1"/>
  <c r="H292" i="22"/>
  <c r="H294" i="22" s="1"/>
  <c r="H284" i="22"/>
  <c r="H256" i="22"/>
  <c r="H258" i="22" s="1"/>
  <c r="H248" i="22"/>
  <c r="K163" i="30"/>
  <c r="K164" i="30"/>
  <c r="K168" i="30"/>
  <c r="K169" i="30"/>
  <c r="K170" i="30"/>
  <c r="I256" i="22" l="1"/>
  <c r="I258" i="22" s="1"/>
  <c r="I248" i="22"/>
  <c r="I292" i="22"/>
  <c r="I294" i="22" s="1"/>
  <c r="I284" i="22"/>
  <c r="K243" i="22"/>
  <c r="J244" i="22"/>
  <c r="J245" i="22" s="1"/>
  <c r="J247" i="22" s="1"/>
  <c r="K279" i="22"/>
  <c r="J280" i="22"/>
  <c r="J281" i="22" s="1"/>
  <c r="J283" i="22" s="1"/>
  <c r="H13" i="3"/>
  <c r="G13" i="3"/>
  <c r="F13" i="3"/>
  <c r="E13" i="3"/>
  <c r="L279" i="22" l="1"/>
  <c r="K280" i="22"/>
  <c r="K281" i="22" s="1"/>
  <c r="K283" i="22" s="1"/>
  <c r="L243" i="22"/>
  <c r="K244" i="22"/>
  <c r="K245" i="22" s="1"/>
  <c r="K247" i="22" s="1"/>
  <c r="J256" i="22"/>
  <c r="J258" i="22" s="1"/>
  <c r="J248" i="22"/>
  <c r="J292" i="22"/>
  <c r="J294" i="22" s="1"/>
  <c r="J284" i="22"/>
  <c r="I110" i="1"/>
  <c r="I109" i="1"/>
  <c r="I102" i="1"/>
  <c r="I101" i="1"/>
  <c r="I100" i="1"/>
  <c r="I99" i="1"/>
  <c r="T17" i="9"/>
  <c r="T16" i="9"/>
  <c r="T15" i="9"/>
  <c r="T14" i="9"/>
  <c r="I93" i="1"/>
  <c r="E132" i="30" s="1"/>
  <c r="I92" i="1"/>
  <c r="E127" i="30" s="1"/>
  <c r="I91" i="1"/>
  <c r="E122" i="30" s="1"/>
  <c r="I90" i="1"/>
  <c r="E117" i="30" s="1"/>
  <c r="I89" i="1"/>
  <c r="E112" i="30" s="1"/>
  <c r="K18" i="7"/>
  <c r="K17" i="7"/>
  <c r="K16" i="7"/>
  <c r="K15" i="7"/>
  <c r="I72" i="1"/>
  <c r="I74" i="1"/>
  <c r="I76" i="1"/>
  <c r="I78" i="1"/>
  <c r="I80" i="1"/>
  <c r="U38" i="29"/>
  <c r="I26" i="1"/>
  <c r="I24" i="1"/>
  <c r="I22" i="1"/>
  <c r="I20" i="1"/>
  <c r="I18" i="1"/>
  <c r="I16" i="1"/>
  <c r="I14" i="1"/>
  <c r="I12" i="1"/>
  <c r="O20" i="5"/>
  <c r="O19" i="5"/>
  <c r="U22" i="4"/>
  <c r="U16" i="4"/>
  <c r="U15" i="4"/>
  <c r="U14" i="4"/>
  <c r="U46" i="4"/>
  <c r="U40" i="4"/>
  <c r="U39" i="4"/>
  <c r="U38" i="4"/>
  <c r="U69" i="4"/>
  <c r="U63" i="4"/>
  <c r="U62" i="4"/>
  <c r="U61" i="4"/>
  <c r="U92" i="4"/>
  <c r="U86" i="4"/>
  <c r="U85" i="4"/>
  <c r="U84" i="4"/>
  <c r="U108" i="4"/>
  <c r="U107" i="4"/>
  <c r="U133" i="4"/>
  <c r="U132" i="4"/>
  <c r="U131" i="4"/>
  <c r="U130" i="4"/>
  <c r="U156" i="4"/>
  <c r="U155" i="4"/>
  <c r="U154" i="4"/>
  <c r="U153" i="4"/>
  <c r="J18" i="1"/>
  <c r="J26" i="1"/>
  <c r="J27" i="1" s="1"/>
  <c r="J24" i="1"/>
  <c r="J22" i="1"/>
  <c r="J20" i="1"/>
  <c r="J16" i="1"/>
  <c r="J14" i="1"/>
  <c r="E12" i="30"/>
  <c r="K284" i="22" l="1"/>
  <c r="K292" i="22"/>
  <c r="K294" i="22" s="1"/>
  <c r="K248" i="22"/>
  <c r="K256" i="22"/>
  <c r="K258" i="22" s="1"/>
  <c r="M243" i="22"/>
  <c r="L244" i="22"/>
  <c r="L245" i="22" s="1"/>
  <c r="L247" i="22" s="1"/>
  <c r="M279" i="22"/>
  <c r="L280" i="22"/>
  <c r="L281" i="22" s="1"/>
  <c r="L283" i="22" s="1"/>
  <c r="I98" i="1"/>
  <c r="I88" i="1"/>
  <c r="E107" i="30" s="1"/>
  <c r="K19" i="7"/>
  <c r="K31" i="7" s="1"/>
  <c r="I70" i="1"/>
  <c r="O22" i="29"/>
  <c r="O30" i="5"/>
  <c r="I34" i="1"/>
  <c r="I52" i="1"/>
  <c r="I36" i="1"/>
  <c r="I54" i="1"/>
  <c r="I38" i="1"/>
  <c r="I56" i="1"/>
  <c r="I40" i="1"/>
  <c r="I58" i="1"/>
  <c r="I42" i="1"/>
  <c r="I60" i="1"/>
  <c r="I44" i="1"/>
  <c r="I62" i="1"/>
  <c r="E16" i="30"/>
  <c r="E20" i="30"/>
  <c r="J23" i="1"/>
  <c r="E22" i="30"/>
  <c r="J25" i="1"/>
  <c r="E24" i="30"/>
  <c r="E26" i="30"/>
  <c r="E18" i="30"/>
  <c r="N279" i="22" l="1"/>
  <c r="M280" i="22"/>
  <c r="M281" i="22" s="1"/>
  <c r="M283" i="22" s="1"/>
  <c r="N243" i="22"/>
  <c r="M244" i="22"/>
  <c r="M245" i="22" s="1"/>
  <c r="M247" i="22" s="1"/>
  <c r="L248" i="22"/>
  <c r="L256" i="22"/>
  <c r="L258" i="22" s="1"/>
  <c r="L284" i="22"/>
  <c r="L292" i="22"/>
  <c r="L294" i="22" s="1"/>
  <c r="I87" i="1"/>
  <c r="I50" i="1"/>
  <c r="E23" i="30"/>
  <c r="E25" i="30"/>
  <c r="C3" i="30"/>
  <c r="C2" i="30"/>
  <c r="J141" i="30"/>
  <c r="I142" i="30"/>
  <c r="I141" i="30"/>
  <c r="H141" i="30"/>
  <c r="G141" i="30"/>
  <c r="J100" i="1"/>
  <c r="E141" i="30" s="1"/>
  <c r="X17" i="9"/>
  <c r="X16" i="9"/>
  <c r="X15" i="9"/>
  <c r="P17" i="9"/>
  <c r="P16" i="9"/>
  <c r="P15" i="9"/>
  <c r="P14" i="9"/>
  <c r="H100" i="1"/>
  <c r="F101" i="1"/>
  <c r="F100" i="1"/>
  <c r="L17" i="9"/>
  <c r="L16" i="9"/>
  <c r="L15" i="9"/>
  <c r="L14" i="9"/>
  <c r="G100" i="1"/>
  <c r="H17" i="9"/>
  <c r="H16" i="9"/>
  <c r="H15" i="9"/>
  <c r="F99" i="1"/>
  <c r="D17" i="9"/>
  <c r="D16" i="9"/>
  <c r="D15" i="9"/>
  <c r="E100" i="1"/>
  <c r="J62" i="1"/>
  <c r="E63" i="30" s="1"/>
  <c r="G62" i="1"/>
  <c r="F62" i="1"/>
  <c r="E63" i="1"/>
  <c r="E62" i="1"/>
  <c r="J60" i="1"/>
  <c r="E61" i="30" s="1"/>
  <c r="G60" i="1"/>
  <c r="F60" i="1"/>
  <c r="E61" i="1"/>
  <c r="E60" i="1"/>
  <c r="J58" i="1"/>
  <c r="E59" i="30" s="1"/>
  <c r="G58" i="1"/>
  <c r="F58" i="1"/>
  <c r="E59" i="1"/>
  <c r="E58" i="1"/>
  <c r="J56" i="1"/>
  <c r="E57" i="30" s="1"/>
  <c r="G56" i="1"/>
  <c r="F56" i="1"/>
  <c r="E57" i="1"/>
  <c r="E56" i="1"/>
  <c r="J54" i="1"/>
  <c r="E55" i="30" s="1"/>
  <c r="G54" i="1"/>
  <c r="F54" i="1"/>
  <c r="E55" i="1"/>
  <c r="E54" i="1"/>
  <c r="AR38" i="29"/>
  <c r="AM38" i="29"/>
  <c r="AH38" i="29"/>
  <c r="AC38" i="29"/>
  <c r="G38" i="29"/>
  <c r="L14" i="29"/>
  <c r="I14" i="29"/>
  <c r="F14" i="29"/>
  <c r="E14" i="29"/>
  <c r="C3" i="29"/>
  <c r="C2" i="29"/>
  <c r="C3" i="28"/>
  <c r="C2" i="28"/>
  <c r="M284" i="22" l="1"/>
  <c r="M292" i="22"/>
  <c r="M294" i="22" s="1"/>
  <c r="O279" i="22"/>
  <c r="N280" i="22"/>
  <c r="N281" i="22" s="1"/>
  <c r="N283" i="22" s="1"/>
  <c r="M248" i="22"/>
  <c r="M256" i="22"/>
  <c r="M258" i="22" s="1"/>
  <c r="O243" i="22"/>
  <c r="N244" i="22"/>
  <c r="N245" i="22" s="1"/>
  <c r="N247" i="22" s="1"/>
  <c r="AM14" i="29"/>
  <c r="AH14" i="29"/>
  <c r="AR14" i="29"/>
  <c r="AC14" i="29"/>
  <c r="F98" i="1"/>
  <c r="F80" i="18"/>
  <c r="G80" i="18"/>
  <c r="H38" i="29"/>
  <c r="H54" i="29"/>
  <c r="F55" i="1"/>
  <c r="G55" i="1" s="1"/>
  <c r="J55" i="1" s="1"/>
  <c r="E56" i="30" s="1"/>
  <c r="G52" i="1"/>
  <c r="G50" i="1" s="1"/>
  <c r="I22" i="29"/>
  <c r="J52" i="1"/>
  <c r="E53" i="30" s="1"/>
  <c r="R22" i="29"/>
  <c r="L22" i="29"/>
  <c r="E52" i="1"/>
  <c r="E50" i="1" s="1"/>
  <c r="D22" i="29"/>
  <c r="E53" i="1"/>
  <c r="E51" i="1" s="1"/>
  <c r="E22" i="29"/>
  <c r="F52" i="1"/>
  <c r="F50" i="1" s="1"/>
  <c r="F22" i="29"/>
  <c r="F63" i="1"/>
  <c r="G63" i="1" s="1"/>
  <c r="J63" i="1" s="1"/>
  <c r="E64" i="30" s="1"/>
  <c r="F57" i="1"/>
  <c r="G57" i="1" s="1"/>
  <c r="J57" i="1" s="1"/>
  <c r="E58" i="30" s="1"/>
  <c r="F61" i="1"/>
  <c r="G61" i="1" s="1"/>
  <c r="J61" i="1" s="1"/>
  <c r="E62" i="30" s="1"/>
  <c r="AM151" i="29"/>
  <c r="F151" i="29"/>
  <c r="R128" i="29"/>
  <c r="AM105" i="29"/>
  <c r="F105" i="29"/>
  <c r="R82" i="29"/>
  <c r="AM59" i="29"/>
  <c r="F59" i="29"/>
  <c r="R36" i="29"/>
  <c r="AM12" i="29"/>
  <c r="F12" i="29"/>
  <c r="I151" i="29"/>
  <c r="I59" i="29"/>
  <c r="AH151" i="29"/>
  <c r="D151" i="29"/>
  <c r="O128" i="29"/>
  <c r="AH105" i="29"/>
  <c r="D105" i="29"/>
  <c r="O82" i="29"/>
  <c r="AH59" i="29"/>
  <c r="D59" i="29"/>
  <c r="O36" i="29"/>
  <c r="AH12" i="29"/>
  <c r="D12" i="29"/>
  <c r="AR105" i="29"/>
  <c r="I12" i="29"/>
  <c r="AC151" i="29"/>
  <c r="L128" i="29"/>
  <c r="AC105" i="29"/>
  <c r="L82" i="29"/>
  <c r="AC59" i="29"/>
  <c r="L36" i="29"/>
  <c r="AC12" i="29"/>
  <c r="AR59" i="29"/>
  <c r="X151" i="29"/>
  <c r="AR128" i="29"/>
  <c r="I128" i="29"/>
  <c r="X105" i="29"/>
  <c r="AR82" i="29"/>
  <c r="I82" i="29"/>
  <c r="X59" i="29"/>
  <c r="AR36" i="29"/>
  <c r="I36" i="29"/>
  <c r="X12" i="29"/>
  <c r="X128" i="29"/>
  <c r="X36" i="29"/>
  <c r="R151" i="29"/>
  <c r="AM128" i="29"/>
  <c r="F128" i="29"/>
  <c r="R105" i="29"/>
  <c r="AM82" i="29"/>
  <c r="F82" i="29"/>
  <c r="R59" i="29"/>
  <c r="AM36" i="29"/>
  <c r="F36" i="29"/>
  <c r="R12" i="29"/>
  <c r="I105" i="29"/>
  <c r="O151" i="29"/>
  <c r="AH128" i="29"/>
  <c r="D128" i="29"/>
  <c r="O105" i="29"/>
  <c r="AH82" i="29"/>
  <c r="D82" i="29"/>
  <c r="O59" i="29"/>
  <c r="AH36" i="29"/>
  <c r="D36" i="29"/>
  <c r="O12" i="29"/>
  <c r="X82" i="29"/>
  <c r="L151" i="29"/>
  <c r="AC128" i="29"/>
  <c r="L105" i="29"/>
  <c r="AC82" i="29"/>
  <c r="L59" i="29"/>
  <c r="AC36" i="29"/>
  <c r="L12" i="29"/>
  <c r="AR151" i="29"/>
  <c r="AR12" i="29"/>
  <c r="F59" i="1"/>
  <c r="G59" i="1" s="1"/>
  <c r="J59" i="1" s="1"/>
  <c r="E60" i="30" s="1"/>
  <c r="F32" i="30"/>
  <c r="K32" i="30" s="1"/>
  <c r="E32" i="30"/>
  <c r="J32" i="30"/>
  <c r="I32" i="30"/>
  <c r="H32" i="30"/>
  <c r="G32" i="30"/>
  <c r="F87" i="30"/>
  <c r="I87" i="30"/>
  <c r="E87" i="30"/>
  <c r="H87" i="30"/>
  <c r="G87" i="30"/>
  <c r="J87" i="30"/>
  <c r="K81" i="30"/>
  <c r="K79" i="30"/>
  <c r="I57" i="30"/>
  <c r="J57" i="30"/>
  <c r="H63" i="30"/>
  <c r="U54" i="29"/>
  <c r="J55" i="30"/>
  <c r="H59" i="30"/>
  <c r="I59" i="30"/>
  <c r="G63" i="30"/>
  <c r="G57" i="30"/>
  <c r="H61" i="30"/>
  <c r="I63" i="30"/>
  <c r="U14" i="29"/>
  <c r="G55" i="30"/>
  <c r="G61" i="30"/>
  <c r="H55" i="30"/>
  <c r="I61" i="30"/>
  <c r="J63" i="30"/>
  <c r="G14" i="29"/>
  <c r="J61" i="30"/>
  <c r="E11" i="30"/>
  <c r="E50" i="30"/>
  <c r="E97" i="30"/>
  <c r="E68" i="30"/>
  <c r="E149" i="30"/>
  <c r="E156" i="30"/>
  <c r="E138" i="30"/>
  <c r="F156" i="30"/>
  <c r="G97" i="30"/>
  <c r="G11" i="30"/>
  <c r="I50" i="30"/>
  <c r="H97" i="30"/>
  <c r="E3" i="30"/>
  <c r="I11" i="30"/>
  <c r="F68" i="30"/>
  <c r="I97" i="30"/>
  <c r="J11" i="30"/>
  <c r="G68" i="30"/>
  <c r="J97" i="30"/>
  <c r="F138" i="30"/>
  <c r="G156" i="30"/>
  <c r="H156" i="30"/>
  <c r="H68" i="30"/>
  <c r="G138" i="30"/>
  <c r="I68" i="30"/>
  <c r="I156" i="30"/>
  <c r="G50" i="30"/>
  <c r="J68" i="30"/>
  <c r="I138" i="30"/>
  <c r="G149" i="30"/>
  <c r="J156" i="30"/>
  <c r="F50" i="30"/>
  <c r="H138" i="30"/>
  <c r="F149" i="30"/>
  <c r="F11" i="30"/>
  <c r="H50" i="30"/>
  <c r="F97" i="30"/>
  <c r="J138" i="30"/>
  <c r="H149" i="30"/>
  <c r="I149" i="30"/>
  <c r="H11" i="30"/>
  <c r="J50" i="30"/>
  <c r="J149" i="30"/>
  <c r="E3" i="29"/>
  <c r="B7" i="29" s="1"/>
  <c r="J38" i="29"/>
  <c r="J59" i="30"/>
  <c r="F61" i="30"/>
  <c r="I55" i="30"/>
  <c r="H57" i="30"/>
  <c r="F63" i="30"/>
  <c r="G59" i="30"/>
  <c r="E3" i="28"/>
  <c r="C3" i="18"/>
  <c r="C2" i="18"/>
  <c r="C3" i="13"/>
  <c r="C2" i="13"/>
  <c r="J151" i="30"/>
  <c r="I151" i="30"/>
  <c r="H151" i="30"/>
  <c r="G151" i="30"/>
  <c r="F151" i="30"/>
  <c r="J110" i="1"/>
  <c r="E151" i="30" s="1"/>
  <c r="H110" i="1"/>
  <c r="G110" i="1"/>
  <c r="F110" i="1"/>
  <c r="E110" i="1"/>
  <c r="J150" i="30"/>
  <c r="I150" i="30"/>
  <c r="H150" i="30"/>
  <c r="G150" i="30"/>
  <c r="F150" i="30"/>
  <c r="J109" i="1"/>
  <c r="H109" i="1"/>
  <c r="G109" i="1"/>
  <c r="F109" i="1"/>
  <c r="E109" i="1"/>
  <c r="J143" i="30"/>
  <c r="H22" i="2" s="1"/>
  <c r="I143" i="30"/>
  <c r="G22" i="2" s="1"/>
  <c r="H143" i="30"/>
  <c r="F22" i="2" s="1"/>
  <c r="G143" i="30"/>
  <c r="E22" i="2" s="1"/>
  <c r="F143" i="30"/>
  <c r="D22" i="2" s="1"/>
  <c r="J102" i="1"/>
  <c r="E143" i="30" s="1"/>
  <c r="H102" i="1"/>
  <c r="G102" i="1"/>
  <c r="F102" i="1"/>
  <c r="E102" i="1"/>
  <c r="J142" i="30"/>
  <c r="J140" i="30"/>
  <c r="I140" i="30"/>
  <c r="I139" i="30" s="1"/>
  <c r="H142" i="30"/>
  <c r="H140" i="30"/>
  <c r="G142" i="30"/>
  <c r="G140" i="30"/>
  <c r="F142" i="30"/>
  <c r="J101" i="1"/>
  <c r="J99" i="1"/>
  <c r="H101" i="1"/>
  <c r="H99" i="1"/>
  <c r="G101" i="1"/>
  <c r="G99" i="1"/>
  <c r="E101" i="1"/>
  <c r="E99" i="1"/>
  <c r="C3" i="9"/>
  <c r="C2" i="9"/>
  <c r="D181" i="27"/>
  <c r="E181" i="27"/>
  <c r="F181" i="27"/>
  <c r="G181" i="27"/>
  <c r="H181" i="27"/>
  <c r="D182" i="27"/>
  <c r="E182" i="27"/>
  <c r="F182" i="27"/>
  <c r="G182" i="27"/>
  <c r="H182" i="27"/>
  <c r="D183" i="27"/>
  <c r="E183" i="27"/>
  <c r="F183" i="27"/>
  <c r="G183" i="27"/>
  <c r="H183" i="27"/>
  <c r="H180" i="27"/>
  <c r="G180" i="27"/>
  <c r="F180" i="27"/>
  <c r="E180" i="27"/>
  <c r="D180" i="27"/>
  <c r="D160" i="27"/>
  <c r="E160" i="27"/>
  <c r="F160" i="27"/>
  <c r="G160" i="27"/>
  <c r="H160" i="27"/>
  <c r="D161" i="27"/>
  <c r="E161" i="27"/>
  <c r="F161" i="27"/>
  <c r="G161" i="27"/>
  <c r="H161" i="27"/>
  <c r="D162" i="27"/>
  <c r="E162" i="27"/>
  <c r="F162" i="27"/>
  <c r="G162" i="27"/>
  <c r="H162" i="27"/>
  <c r="H159" i="27"/>
  <c r="G159" i="27"/>
  <c r="F159" i="27"/>
  <c r="E159" i="27"/>
  <c r="D159" i="27"/>
  <c r="E139" i="27"/>
  <c r="F139" i="27"/>
  <c r="G139" i="27"/>
  <c r="H139" i="27"/>
  <c r="E140" i="27"/>
  <c r="F140" i="27"/>
  <c r="G140" i="27"/>
  <c r="H140" i="27"/>
  <c r="E141" i="27"/>
  <c r="F141" i="27"/>
  <c r="G141" i="27"/>
  <c r="H141" i="27"/>
  <c r="H138" i="27"/>
  <c r="G138" i="27"/>
  <c r="F138" i="27"/>
  <c r="E138" i="27"/>
  <c r="D118" i="27"/>
  <c r="E118" i="27"/>
  <c r="F118" i="27"/>
  <c r="G118" i="27"/>
  <c r="H118" i="27"/>
  <c r="D119" i="27"/>
  <c r="E119" i="27"/>
  <c r="F119" i="27"/>
  <c r="G119" i="27"/>
  <c r="H119" i="27"/>
  <c r="H117" i="27"/>
  <c r="G117" i="27"/>
  <c r="F117" i="27"/>
  <c r="E117" i="27"/>
  <c r="D117" i="27"/>
  <c r="H160" i="30"/>
  <c r="F34" i="27"/>
  <c r="G34" i="27"/>
  <c r="H34" i="27"/>
  <c r="F35" i="27"/>
  <c r="G35" i="27"/>
  <c r="H35" i="27"/>
  <c r="F36" i="27"/>
  <c r="G36" i="27"/>
  <c r="H36" i="27"/>
  <c r="H33" i="27"/>
  <c r="G33" i="27"/>
  <c r="F33" i="27"/>
  <c r="C3" i="27"/>
  <c r="C2" i="27"/>
  <c r="C3" i="19"/>
  <c r="F71" i="19" s="1"/>
  <c r="C2" i="19"/>
  <c r="E13" i="27" l="1"/>
  <c r="E13" i="18" s="1"/>
  <c r="F15" i="27"/>
  <c r="F128" i="22" s="1"/>
  <c r="E12" i="27"/>
  <c r="E20" i="22" s="1"/>
  <c r="H13" i="27"/>
  <c r="H13" i="18" s="1"/>
  <c r="E14" i="27"/>
  <c r="E92" i="22" s="1"/>
  <c r="D13" i="27"/>
  <c r="D55" i="18" s="1"/>
  <c r="D14" i="27"/>
  <c r="D56" i="18" s="1"/>
  <c r="G13" i="27"/>
  <c r="G55" i="18" s="1"/>
  <c r="E15" i="27"/>
  <c r="E128" i="22" s="1"/>
  <c r="D15" i="27"/>
  <c r="D128" i="22" s="1"/>
  <c r="G162" i="30"/>
  <c r="H162" i="30"/>
  <c r="H14" i="27"/>
  <c r="H14" i="18" s="1"/>
  <c r="H12" i="27"/>
  <c r="H20" i="22" s="1"/>
  <c r="I162" i="30"/>
  <c r="H15" i="27"/>
  <c r="H128" i="22" s="1"/>
  <c r="J162" i="30"/>
  <c r="F13" i="27"/>
  <c r="F55" i="18" s="1"/>
  <c r="F12" i="27"/>
  <c r="F12" i="18" s="1"/>
  <c r="G12" i="27"/>
  <c r="G20" i="22" s="1"/>
  <c r="F14" i="27"/>
  <c r="F92" i="22" s="1"/>
  <c r="N248" i="22"/>
  <c r="N256" i="22"/>
  <c r="N258" i="22" s="1"/>
  <c r="G14" i="27"/>
  <c r="P243" i="22"/>
  <c r="O244" i="22"/>
  <c r="O245" i="22" s="1"/>
  <c r="O247" i="22" s="1"/>
  <c r="N292" i="22"/>
  <c r="N294" i="22" s="1"/>
  <c r="N284" i="22"/>
  <c r="G15" i="27"/>
  <c r="P279" i="22"/>
  <c r="O280" i="22"/>
  <c r="O281" i="22" s="1"/>
  <c r="O283" i="22" s="1"/>
  <c r="J161" i="30"/>
  <c r="I161" i="30"/>
  <c r="F161" i="30"/>
  <c r="H161" i="30"/>
  <c r="G161" i="30"/>
  <c r="I160" i="30"/>
  <c r="G160" i="30"/>
  <c r="J160" i="30"/>
  <c r="F160" i="30"/>
  <c r="G167" i="30"/>
  <c r="G165" i="30" s="1"/>
  <c r="H167" i="30"/>
  <c r="H165" i="30" s="1"/>
  <c r="I167" i="30"/>
  <c r="I165" i="30" s="1"/>
  <c r="F162" i="30"/>
  <c r="J167" i="30"/>
  <c r="J165" i="30" s="1"/>
  <c r="F159" i="30"/>
  <c r="G159" i="30"/>
  <c r="J98" i="1"/>
  <c r="E139" i="30" s="1"/>
  <c r="G98" i="1"/>
  <c r="J139" i="30"/>
  <c r="H98" i="1"/>
  <c r="E98" i="1"/>
  <c r="H139" i="30"/>
  <c r="G139" i="30"/>
  <c r="N81" i="9"/>
  <c r="M59" i="9"/>
  <c r="M81" i="9"/>
  <c r="L59" i="9"/>
  <c r="J81" i="9"/>
  <c r="H59" i="9"/>
  <c r="G81" i="9"/>
  <c r="D59" i="9"/>
  <c r="L81" i="9"/>
  <c r="K59" i="9"/>
  <c r="I59" i="9"/>
  <c r="I81" i="9"/>
  <c r="G59" i="9"/>
  <c r="E59" i="9"/>
  <c r="D81" i="9"/>
  <c r="N59" i="9"/>
  <c r="K81" i="9"/>
  <c r="J59" i="9"/>
  <c r="H81" i="9"/>
  <c r="F59" i="9"/>
  <c r="E81" i="9"/>
  <c r="F81" i="9"/>
  <c r="J50" i="1"/>
  <c r="E51" i="30" s="1"/>
  <c r="AW15" i="29"/>
  <c r="AW19" i="29"/>
  <c r="F53" i="1"/>
  <c r="F51" i="1" s="1"/>
  <c r="AW18" i="29"/>
  <c r="AW20" i="29"/>
  <c r="I53" i="30"/>
  <c r="I51" i="30" s="1"/>
  <c r="J53" i="30"/>
  <c r="J51" i="30" s="1"/>
  <c r="AW17" i="29"/>
  <c r="G22" i="29"/>
  <c r="H53" i="30"/>
  <c r="H51" i="30" s="1"/>
  <c r="U22" i="29"/>
  <c r="G53" i="30"/>
  <c r="G51" i="30" s="1"/>
  <c r="AW16" i="29"/>
  <c r="AW105" i="29"/>
  <c r="AW128" i="29"/>
  <c r="U35" i="29"/>
  <c r="U81" i="29"/>
  <c r="AW36" i="29"/>
  <c r="AW59" i="29"/>
  <c r="AW82" i="29"/>
  <c r="U11" i="29"/>
  <c r="I151" i="13"/>
  <c r="O128" i="13"/>
  <c r="S105" i="13"/>
  <c r="W82" i="13"/>
  <c r="E82" i="13"/>
  <c r="I59" i="13"/>
  <c r="O36" i="13"/>
  <c r="G36" i="13"/>
  <c r="Q128" i="13"/>
  <c r="M11" i="13"/>
  <c r="G151" i="13"/>
  <c r="K128" i="13"/>
  <c r="Q105" i="13"/>
  <c r="U82" i="13"/>
  <c r="D82" i="13"/>
  <c r="G59" i="13"/>
  <c r="K36" i="13"/>
  <c r="D59" i="13"/>
  <c r="E36" i="13"/>
  <c r="D105" i="13"/>
  <c r="Q36" i="13"/>
  <c r="W151" i="13"/>
  <c r="E151" i="13"/>
  <c r="I128" i="13"/>
  <c r="O105" i="13"/>
  <c r="S82" i="13"/>
  <c r="W59" i="13"/>
  <c r="E59" i="13"/>
  <c r="I36" i="13"/>
  <c r="U59" i="13"/>
  <c r="U105" i="13"/>
  <c r="U151" i="13"/>
  <c r="D151" i="13"/>
  <c r="G128" i="13"/>
  <c r="K105" i="13"/>
  <c r="Q82" i="13"/>
  <c r="K151" i="13"/>
  <c r="S151" i="13"/>
  <c r="W128" i="13"/>
  <c r="E128" i="13"/>
  <c r="I105" i="13"/>
  <c r="O82" i="13"/>
  <c r="S59" i="13"/>
  <c r="W36" i="13"/>
  <c r="G82" i="13"/>
  <c r="Q151" i="13"/>
  <c r="U128" i="13"/>
  <c r="D128" i="13"/>
  <c r="G105" i="13"/>
  <c r="K82" i="13"/>
  <c r="Q59" i="13"/>
  <c r="U36" i="13"/>
  <c r="D36" i="13"/>
  <c r="I82" i="13"/>
  <c r="S36" i="13"/>
  <c r="O151" i="13"/>
  <c r="S128" i="13"/>
  <c r="W105" i="13"/>
  <c r="E105" i="13"/>
  <c r="O59" i="13"/>
  <c r="K59" i="13"/>
  <c r="U150" i="29"/>
  <c r="U58" i="29"/>
  <c r="AW151" i="29"/>
  <c r="AW12" i="29"/>
  <c r="U127" i="29"/>
  <c r="U104" i="29"/>
  <c r="I37" i="9"/>
  <c r="X12" i="9"/>
  <c r="E140" i="30"/>
  <c r="E142" i="30"/>
  <c r="E150" i="30"/>
  <c r="H14" i="2"/>
  <c r="K87" i="30"/>
  <c r="H37" i="9"/>
  <c r="G37" i="9"/>
  <c r="T12" i="9"/>
  <c r="E3" i="9"/>
  <c r="P12" i="9"/>
  <c r="U30" i="29"/>
  <c r="J14" i="29"/>
  <c r="H14" i="29"/>
  <c r="I78" i="27"/>
  <c r="I77" i="27"/>
  <c r="I120" i="27"/>
  <c r="I162" i="27"/>
  <c r="I160" i="27"/>
  <c r="I55" i="27"/>
  <c r="I98" i="27"/>
  <c r="I141" i="27"/>
  <c r="I181" i="27"/>
  <c r="I97" i="27"/>
  <c r="I182" i="27"/>
  <c r="I140" i="27"/>
  <c r="I139" i="27"/>
  <c r="I99" i="27"/>
  <c r="I183" i="27"/>
  <c r="I118" i="27"/>
  <c r="I119" i="27"/>
  <c r="I161" i="27"/>
  <c r="I180" i="27"/>
  <c r="K156" i="30"/>
  <c r="K97" i="30"/>
  <c r="K50" i="30"/>
  <c r="K11" i="30"/>
  <c r="K68" i="30"/>
  <c r="K54" i="29"/>
  <c r="M38" i="29"/>
  <c r="K38" i="29"/>
  <c r="E3" i="18"/>
  <c r="I32" i="18" s="1"/>
  <c r="E3" i="13"/>
  <c r="Y11" i="13" s="1"/>
  <c r="I159" i="27"/>
  <c r="I138" i="27"/>
  <c r="I117" i="27"/>
  <c r="I76" i="27"/>
  <c r="I56" i="27"/>
  <c r="I57" i="27"/>
  <c r="I54" i="27"/>
  <c r="I36" i="27"/>
  <c r="I34" i="27"/>
  <c r="I33" i="27"/>
  <c r="I35" i="27"/>
  <c r="F11" i="27"/>
  <c r="D31" i="19"/>
  <c r="D51" i="19"/>
  <c r="D71" i="19"/>
  <c r="D91" i="19"/>
  <c r="D111" i="19"/>
  <c r="D151" i="19"/>
  <c r="D131" i="19"/>
  <c r="D11" i="19"/>
  <c r="E11" i="19"/>
  <c r="D53" i="27"/>
  <c r="E74" i="27"/>
  <c r="E3" i="27"/>
  <c r="D32" i="27"/>
  <c r="E53" i="27"/>
  <c r="F74" i="27"/>
  <c r="G95" i="27"/>
  <c r="H116" i="27"/>
  <c r="D158" i="27"/>
  <c r="E32" i="27"/>
  <c r="F53" i="27"/>
  <c r="G74" i="27"/>
  <c r="H95" i="27"/>
  <c r="D179" i="27"/>
  <c r="E158" i="27"/>
  <c r="F95" i="27"/>
  <c r="G116" i="27"/>
  <c r="D11" i="27"/>
  <c r="F32" i="27"/>
  <c r="G53" i="27"/>
  <c r="H74" i="27"/>
  <c r="D137" i="27"/>
  <c r="E179" i="27"/>
  <c r="F158" i="27"/>
  <c r="E11" i="27"/>
  <c r="G32" i="27"/>
  <c r="H53" i="27"/>
  <c r="E137" i="27"/>
  <c r="F179" i="27"/>
  <c r="G158" i="27"/>
  <c r="H32" i="27"/>
  <c r="D116" i="27"/>
  <c r="I116" i="27" s="1"/>
  <c r="F137" i="27"/>
  <c r="G179" i="27"/>
  <c r="H158" i="27"/>
  <c r="G11" i="27"/>
  <c r="D95" i="27"/>
  <c r="E116" i="27"/>
  <c r="G137" i="27"/>
  <c r="H179" i="27"/>
  <c r="H11" i="27"/>
  <c r="D74" i="27"/>
  <c r="E95" i="27"/>
  <c r="F116" i="27"/>
  <c r="H137" i="27"/>
  <c r="E3" i="19"/>
  <c r="F31" i="19"/>
  <c r="G51" i="19"/>
  <c r="H71" i="19"/>
  <c r="I91" i="19"/>
  <c r="E131" i="19"/>
  <c r="E31" i="19"/>
  <c r="F51" i="19"/>
  <c r="G71" i="19"/>
  <c r="H91" i="19"/>
  <c r="F11" i="19"/>
  <c r="G31" i="19"/>
  <c r="F41" i="27" s="1"/>
  <c r="H159" i="30" s="1"/>
  <c r="H51" i="19"/>
  <c r="I71" i="19"/>
  <c r="E151" i="19"/>
  <c r="D167" i="27" s="1"/>
  <c r="F131" i="19"/>
  <c r="G11" i="19"/>
  <c r="H31" i="19"/>
  <c r="G41" i="27" s="1"/>
  <c r="I159" i="30" s="1"/>
  <c r="I51" i="19"/>
  <c r="E111" i="19"/>
  <c r="F151" i="19"/>
  <c r="E167" i="27" s="1"/>
  <c r="G131" i="19"/>
  <c r="H11" i="19"/>
  <c r="I31" i="19"/>
  <c r="H41" i="27" s="1"/>
  <c r="F111" i="19"/>
  <c r="G151" i="19"/>
  <c r="F167" i="27" s="1"/>
  <c r="H131" i="19"/>
  <c r="I11" i="19"/>
  <c r="E91" i="19"/>
  <c r="G111" i="19"/>
  <c r="H151" i="19"/>
  <c r="G167" i="27" s="1"/>
  <c r="I131" i="19"/>
  <c r="E71" i="19"/>
  <c r="F91" i="19"/>
  <c r="H111" i="19"/>
  <c r="I151" i="19"/>
  <c r="H167" i="27" s="1"/>
  <c r="E51" i="19"/>
  <c r="G91" i="19"/>
  <c r="I111" i="19"/>
  <c r="E55" i="18" l="1"/>
  <c r="E56" i="22"/>
  <c r="E59" i="22" s="1"/>
  <c r="E15" i="18"/>
  <c r="D15" i="18"/>
  <c r="D57" i="18"/>
  <c r="F15" i="18"/>
  <c r="F57" i="18"/>
  <c r="E14" i="18"/>
  <c r="D13" i="18"/>
  <c r="D56" i="22"/>
  <c r="D59" i="22" s="1"/>
  <c r="E56" i="18"/>
  <c r="G56" i="22"/>
  <c r="G59" i="22" s="1"/>
  <c r="D14" i="18"/>
  <c r="D92" i="22"/>
  <c r="D113" i="22" s="1"/>
  <c r="E57" i="18"/>
  <c r="E12" i="18"/>
  <c r="G13" i="18"/>
  <c r="H12" i="18"/>
  <c r="K162" i="30"/>
  <c r="H57" i="18"/>
  <c r="H15" i="18"/>
  <c r="J159" i="30"/>
  <c r="K159" i="30" s="1"/>
  <c r="H20" i="27"/>
  <c r="I15" i="27"/>
  <c r="F56" i="22"/>
  <c r="F59" i="22" s="1"/>
  <c r="E20" i="27"/>
  <c r="G20" i="27"/>
  <c r="I167" i="27"/>
  <c r="F20" i="27"/>
  <c r="I41" i="27"/>
  <c r="I49" i="27" s="1"/>
  <c r="F13" i="18"/>
  <c r="F56" i="18"/>
  <c r="F20" i="22"/>
  <c r="F23" i="22" s="1"/>
  <c r="G12" i="18"/>
  <c r="F14" i="18"/>
  <c r="I13" i="27"/>
  <c r="H56" i="22"/>
  <c r="H77" i="22" s="1"/>
  <c r="H55" i="18"/>
  <c r="H158" i="30"/>
  <c r="H157" i="30" s="1"/>
  <c r="F27" i="2" s="1"/>
  <c r="I14" i="27"/>
  <c r="G158" i="30"/>
  <c r="G157" i="30" s="1"/>
  <c r="E27" i="2" s="1"/>
  <c r="K160" i="30"/>
  <c r="I158" i="30"/>
  <c r="I157" i="30" s="1"/>
  <c r="G27" i="2" s="1"/>
  <c r="H41" i="22"/>
  <c r="H23" i="22"/>
  <c r="G92" i="22"/>
  <c r="G56" i="18"/>
  <c r="G14" i="18"/>
  <c r="H149" i="22"/>
  <c r="H131" i="22"/>
  <c r="O284" i="22"/>
  <c r="O292" i="22"/>
  <c r="O294" i="22" s="1"/>
  <c r="F158" i="30"/>
  <c r="K161" i="30"/>
  <c r="F95" i="22"/>
  <c r="F113" i="22"/>
  <c r="H92" i="22"/>
  <c r="H56" i="18"/>
  <c r="E149" i="22"/>
  <c r="E131" i="22"/>
  <c r="G128" i="22"/>
  <c r="G57" i="18"/>
  <c r="G15" i="18"/>
  <c r="O256" i="22"/>
  <c r="O258" i="22" s="1"/>
  <c r="O248" i="22"/>
  <c r="Q279" i="22"/>
  <c r="P280" i="22"/>
  <c r="P281" i="22" s="1"/>
  <c r="P283" i="22" s="1"/>
  <c r="E23" i="22"/>
  <c r="E41" i="22"/>
  <c r="F131" i="22"/>
  <c r="F149" i="22"/>
  <c r="Q243" i="22"/>
  <c r="P244" i="22"/>
  <c r="P245" i="22" s="1"/>
  <c r="P247" i="22" s="1"/>
  <c r="E113" i="22"/>
  <c r="E95" i="22"/>
  <c r="D149" i="22"/>
  <c r="D131" i="22"/>
  <c r="G41" i="22"/>
  <c r="G23" i="22"/>
  <c r="G53" i="1"/>
  <c r="J53" i="1" s="1"/>
  <c r="AB16" i="29"/>
  <c r="J22" i="29"/>
  <c r="K30" i="29" s="1"/>
  <c r="H22" i="29"/>
  <c r="K14" i="29"/>
  <c r="I53" i="18"/>
  <c r="I74" i="18"/>
  <c r="I95" i="18"/>
  <c r="I116" i="18"/>
  <c r="I11" i="18"/>
  <c r="M14" i="29"/>
  <c r="AB18" i="29"/>
  <c r="S38" i="29"/>
  <c r="N38" i="29"/>
  <c r="N54" i="29"/>
  <c r="B7" i="13"/>
  <c r="Y150" i="13"/>
  <c r="Y127" i="13"/>
  <c r="Y104" i="13"/>
  <c r="Y81" i="13"/>
  <c r="Y58" i="13"/>
  <c r="Y35" i="13"/>
  <c r="I74" i="27"/>
  <c r="I32" i="27"/>
  <c r="I95" i="27"/>
  <c r="I137" i="27"/>
  <c r="I179" i="27"/>
  <c r="I11" i="27"/>
  <c r="I158" i="27"/>
  <c r="I53" i="27"/>
  <c r="E77" i="22" l="1"/>
  <c r="D77" i="22"/>
  <c r="G77" i="22"/>
  <c r="F77" i="22"/>
  <c r="D95" i="22"/>
  <c r="J158" i="30"/>
  <c r="J157" i="30" s="1"/>
  <c r="H27" i="2" s="1"/>
  <c r="F308" i="22"/>
  <c r="F20" i="18"/>
  <c r="F62" i="18"/>
  <c r="H20" i="18"/>
  <c r="H308" i="22"/>
  <c r="H62" i="18"/>
  <c r="G20" i="18"/>
  <c r="G308" i="22"/>
  <c r="G62" i="18"/>
  <c r="E308" i="22"/>
  <c r="E20" i="18"/>
  <c r="E62" i="18"/>
  <c r="F41" i="22"/>
  <c r="H59" i="22"/>
  <c r="R279" i="22"/>
  <c r="Q280" i="22"/>
  <c r="Q281" i="22" s="1"/>
  <c r="Q283" i="22" s="1"/>
  <c r="G131" i="22"/>
  <c r="G149" i="22"/>
  <c r="P256" i="22"/>
  <c r="P258" i="22" s="1"/>
  <c r="P248" i="22"/>
  <c r="P284" i="22"/>
  <c r="P292" i="22"/>
  <c r="P294" i="22" s="1"/>
  <c r="H113" i="22"/>
  <c r="H95" i="22"/>
  <c r="R243" i="22"/>
  <c r="Q244" i="22"/>
  <c r="Q245" i="22" s="1"/>
  <c r="Q247" i="22" s="1"/>
  <c r="G113" i="22"/>
  <c r="G95" i="22"/>
  <c r="G51" i="1"/>
  <c r="AB17" i="29"/>
  <c r="AB15" i="29"/>
  <c r="N14" i="29"/>
  <c r="M22" i="29"/>
  <c r="N30" i="29" s="1"/>
  <c r="K22" i="29"/>
  <c r="H51" i="1"/>
  <c r="S14" i="29"/>
  <c r="AB20" i="29"/>
  <c r="T38" i="29"/>
  <c r="V38" i="29"/>
  <c r="F131" i="30"/>
  <c r="F126" i="30"/>
  <c r="F121" i="30"/>
  <c r="F116" i="30"/>
  <c r="F111" i="30"/>
  <c r="S16" i="7"/>
  <c r="S17" i="7"/>
  <c r="S18" i="7"/>
  <c r="S15" i="7"/>
  <c r="C3" i="7"/>
  <c r="C2" i="7"/>
  <c r="C3" i="26"/>
  <c r="C2" i="26"/>
  <c r="I243" i="26"/>
  <c r="G132" i="12" s="1"/>
  <c r="I237" i="26"/>
  <c r="G126" i="12" s="1"/>
  <c r="I236" i="26"/>
  <c r="G125" i="12" s="1"/>
  <c r="I235" i="26"/>
  <c r="G124" i="12" s="1"/>
  <c r="I223" i="26"/>
  <c r="I217" i="26"/>
  <c r="I216" i="26"/>
  <c r="I215" i="26"/>
  <c r="I203" i="26"/>
  <c r="I197" i="26"/>
  <c r="I196" i="26"/>
  <c r="I177" i="26"/>
  <c r="I176" i="26"/>
  <c r="I157" i="26"/>
  <c r="I156" i="26"/>
  <c r="I137" i="26"/>
  <c r="I135" i="26"/>
  <c r="C3" i="22"/>
  <c r="C2" i="22"/>
  <c r="C3" i="24"/>
  <c r="E3" i="24" s="1"/>
  <c r="C2" i="24"/>
  <c r="AA23" i="22"/>
  <c r="Z23" i="22"/>
  <c r="Y23" i="22"/>
  <c r="X23" i="22"/>
  <c r="W23" i="22"/>
  <c r="V23" i="22"/>
  <c r="U23" i="22"/>
  <c r="T23" i="22"/>
  <c r="S23" i="22"/>
  <c r="R23" i="22"/>
  <c r="Q23" i="22"/>
  <c r="P23" i="22"/>
  <c r="O23" i="22"/>
  <c r="N23" i="22"/>
  <c r="M23" i="22"/>
  <c r="L23" i="22"/>
  <c r="K23" i="22"/>
  <c r="J23" i="22"/>
  <c r="H338" i="22" l="1"/>
  <c r="I338" i="22" s="1"/>
  <c r="J338" i="22" s="1"/>
  <c r="K338" i="22" s="1"/>
  <c r="L338" i="22" s="1"/>
  <c r="M338" i="22" s="1"/>
  <c r="N338" i="22" s="1"/>
  <c r="O338" i="22" s="1"/>
  <c r="P338" i="22" s="1"/>
  <c r="Q338" i="22" s="1"/>
  <c r="R338" i="22" s="1"/>
  <c r="S338" i="22" s="1"/>
  <c r="T338" i="22" s="1"/>
  <c r="U338" i="22" s="1"/>
  <c r="V338" i="22" s="1"/>
  <c r="W338" i="22" s="1"/>
  <c r="X338" i="22" s="1"/>
  <c r="Y338" i="22" s="1"/>
  <c r="Z338" i="22" s="1"/>
  <c r="AA338" i="22" s="1"/>
  <c r="G338" i="22"/>
  <c r="F338" i="22"/>
  <c r="E338" i="22"/>
  <c r="D338" i="22"/>
  <c r="K158" i="30"/>
  <c r="V168" i="7"/>
  <c r="AH168" i="7"/>
  <c r="AB168" i="7"/>
  <c r="AN168" i="7"/>
  <c r="G311" i="22"/>
  <c r="G329" i="22"/>
  <c r="F92" i="26"/>
  <c r="H112" i="26"/>
  <c r="E92" i="26"/>
  <c r="D92" i="26"/>
  <c r="F72" i="26"/>
  <c r="G112" i="26"/>
  <c r="F112" i="26"/>
  <c r="H72" i="26"/>
  <c r="G72" i="26"/>
  <c r="E112" i="26"/>
  <c r="D112" i="26"/>
  <c r="E72" i="26"/>
  <c r="H52" i="26"/>
  <c r="D52" i="26"/>
  <c r="D72" i="26"/>
  <c r="G52" i="26"/>
  <c r="F32" i="26"/>
  <c r="F52" i="26"/>
  <c r="H32" i="26"/>
  <c r="G32" i="26"/>
  <c r="E52" i="26"/>
  <c r="H92" i="26"/>
  <c r="G92" i="26"/>
  <c r="E32" i="26"/>
  <c r="D32" i="26"/>
  <c r="H311" i="22"/>
  <c r="H329" i="22"/>
  <c r="E329" i="22"/>
  <c r="E311" i="22"/>
  <c r="F329" i="22"/>
  <c r="F311" i="22"/>
  <c r="E3" i="22"/>
  <c r="G305" i="22"/>
  <c r="F269" i="22"/>
  <c r="G233" i="22"/>
  <c r="H197" i="22"/>
  <c r="I197" i="22" s="1"/>
  <c r="J197" i="22" s="1"/>
  <c r="K197" i="22" s="1"/>
  <c r="L197" i="22" s="1"/>
  <c r="M197" i="22" s="1"/>
  <c r="N197" i="22" s="1"/>
  <c r="O197" i="22" s="1"/>
  <c r="P197" i="22" s="1"/>
  <c r="Q197" i="22" s="1"/>
  <c r="R197" i="22" s="1"/>
  <c r="S197" i="22" s="1"/>
  <c r="T197" i="22" s="1"/>
  <c r="U197" i="22" s="1"/>
  <c r="V197" i="22" s="1"/>
  <c r="W197" i="22" s="1"/>
  <c r="X197" i="22" s="1"/>
  <c r="Y197" i="22" s="1"/>
  <c r="Z197" i="22" s="1"/>
  <c r="AA197" i="22" s="1"/>
  <c r="D197" i="22"/>
  <c r="E161" i="22"/>
  <c r="F125" i="22"/>
  <c r="G89" i="22"/>
  <c r="H53" i="22"/>
  <c r="I53" i="22" s="1"/>
  <c r="J53" i="22" s="1"/>
  <c r="K53" i="22" s="1"/>
  <c r="L53" i="22" s="1"/>
  <c r="M53" i="22" s="1"/>
  <c r="N53" i="22" s="1"/>
  <c r="O53" i="22" s="1"/>
  <c r="P53" i="22" s="1"/>
  <c r="Q53" i="22" s="1"/>
  <c r="R53" i="22" s="1"/>
  <c r="S53" i="22" s="1"/>
  <c r="T53" i="22" s="1"/>
  <c r="U53" i="22" s="1"/>
  <c r="V53" i="22" s="1"/>
  <c r="W53" i="22" s="1"/>
  <c r="X53" i="22" s="1"/>
  <c r="Y53" i="22" s="1"/>
  <c r="Z53" i="22" s="1"/>
  <c r="AA53" i="22" s="1"/>
  <c r="D53" i="22"/>
  <c r="H161" i="22"/>
  <c r="I161" i="22" s="1"/>
  <c r="J161" i="22" s="1"/>
  <c r="K161" i="22" s="1"/>
  <c r="L161" i="22" s="1"/>
  <c r="M161" i="22" s="1"/>
  <c r="N161" i="22" s="1"/>
  <c r="O161" i="22" s="1"/>
  <c r="P161" i="22" s="1"/>
  <c r="Q161" i="22" s="1"/>
  <c r="R161" i="22" s="1"/>
  <c r="S161" i="22" s="1"/>
  <c r="T161" i="22" s="1"/>
  <c r="U161" i="22" s="1"/>
  <c r="V161" i="22" s="1"/>
  <c r="W161" i="22" s="1"/>
  <c r="X161" i="22" s="1"/>
  <c r="Y161" i="22" s="1"/>
  <c r="Z161" i="22" s="1"/>
  <c r="AA161" i="22" s="1"/>
  <c r="F89" i="22"/>
  <c r="H233" i="22"/>
  <c r="I233" i="22" s="1"/>
  <c r="J233" i="22" s="1"/>
  <c r="K233" i="22" s="1"/>
  <c r="L233" i="22" s="1"/>
  <c r="M233" i="22" s="1"/>
  <c r="N233" i="22" s="1"/>
  <c r="O233" i="22" s="1"/>
  <c r="P233" i="22" s="1"/>
  <c r="Q233" i="22" s="1"/>
  <c r="R233" i="22" s="1"/>
  <c r="S233" i="22" s="1"/>
  <c r="T233" i="22" s="1"/>
  <c r="U233" i="22" s="1"/>
  <c r="V233" i="22" s="1"/>
  <c r="W233" i="22" s="1"/>
  <c r="X233" i="22" s="1"/>
  <c r="Y233" i="22" s="1"/>
  <c r="Z233" i="22" s="1"/>
  <c r="AA233" i="22" s="1"/>
  <c r="E197" i="22"/>
  <c r="F161" i="22"/>
  <c r="G125" i="22"/>
  <c r="D89" i="22"/>
  <c r="E53" i="22"/>
  <c r="F305" i="22"/>
  <c r="E269" i="22"/>
  <c r="F233" i="22"/>
  <c r="G197" i="22"/>
  <c r="D161" i="22"/>
  <c r="E125" i="22"/>
  <c r="G53" i="22"/>
  <c r="D305" i="22"/>
  <c r="G269" i="22"/>
  <c r="D233" i="22"/>
  <c r="E305" i="22"/>
  <c r="H269" i="22"/>
  <c r="I269" i="22" s="1"/>
  <c r="J269" i="22" s="1"/>
  <c r="K269" i="22" s="1"/>
  <c r="L269" i="22" s="1"/>
  <c r="M269" i="22" s="1"/>
  <c r="N269" i="22" s="1"/>
  <c r="O269" i="22" s="1"/>
  <c r="P269" i="22" s="1"/>
  <c r="Q269" i="22" s="1"/>
  <c r="R269" i="22" s="1"/>
  <c r="S269" i="22" s="1"/>
  <c r="T269" i="22" s="1"/>
  <c r="U269" i="22" s="1"/>
  <c r="V269" i="22" s="1"/>
  <c r="W269" i="22" s="1"/>
  <c r="X269" i="22" s="1"/>
  <c r="Y269" i="22" s="1"/>
  <c r="Z269" i="22" s="1"/>
  <c r="AA269" i="22" s="1"/>
  <c r="D269" i="22"/>
  <c r="E233" i="22"/>
  <c r="F197" i="22"/>
  <c r="G161" i="22"/>
  <c r="H125" i="22"/>
  <c r="I125" i="22" s="1"/>
  <c r="J125" i="22" s="1"/>
  <c r="K125" i="22" s="1"/>
  <c r="L125" i="22" s="1"/>
  <c r="M125" i="22" s="1"/>
  <c r="N125" i="22" s="1"/>
  <c r="O125" i="22" s="1"/>
  <c r="P125" i="22" s="1"/>
  <c r="Q125" i="22" s="1"/>
  <c r="R125" i="22" s="1"/>
  <c r="S125" i="22" s="1"/>
  <c r="T125" i="22" s="1"/>
  <c r="U125" i="22" s="1"/>
  <c r="V125" i="22" s="1"/>
  <c r="W125" i="22" s="1"/>
  <c r="X125" i="22" s="1"/>
  <c r="Y125" i="22" s="1"/>
  <c r="Z125" i="22" s="1"/>
  <c r="AA125" i="22" s="1"/>
  <c r="D125" i="22"/>
  <c r="E89" i="22"/>
  <c r="F53" i="22"/>
  <c r="H305" i="22"/>
  <c r="I305" i="22" s="1"/>
  <c r="J305" i="22" s="1"/>
  <c r="K305" i="22" s="1"/>
  <c r="L305" i="22" s="1"/>
  <c r="M305" i="22" s="1"/>
  <c r="N305" i="22" s="1"/>
  <c r="O305" i="22" s="1"/>
  <c r="P305" i="22" s="1"/>
  <c r="Q305" i="22" s="1"/>
  <c r="R305" i="22" s="1"/>
  <c r="S305" i="22" s="1"/>
  <c r="T305" i="22" s="1"/>
  <c r="U305" i="22" s="1"/>
  <c r="V305" i="22" s="1"/>
  <c r="W305" i="22" s="1"/>
  <c r="X305" i="22" s="1"/>
  <c r="Y305" i="22" s="1"/>
  <c r="Z305" i="22" s="1"/>
  <c r="AA305" i="22" s="1"/>
  <c r="H89" i="22"/>
  <c r="I89" i="22" s="1"/>
  <c r="J89" i="22" s="1"/>
  <c r="K89" i="22" s="1"/>
  <c r="L89" i="22" s="1"/>
  <c r="M89" i="22" s="1"/>
  <c r="N89" i="22" s="1"/>
  <c r="O89" i="22" s="1"/>
  <c r="P89" i="22" s="1"/>
  <c r="Q89" i="22" s="1"/>
  <c r="R89" i="22" s="1"/>
  <c r="S89" i="22" s="1"/>
  <c r="T89" i="22" s="1"/>
  <c r="U89" i="22" s="1"/>
  <c r="V89" i="22" s="1"/>
  <c r="W89" i="22" s="1"/>
  <c r="X89" i="22" s="1"/>
  <c r="Y89" i="22" s="1"/>
  <c r="Z89" i="22" s="1"/>
  <c r="AA89" i="22" s="1"/>
  <c r="Q292" i="22"/>
  <c r="Q294" i="22" s="1"/>
  <c r="Q284" i="22"/>
  <c r="AN161" i="7"/>
  <c r="AN16" i="7" s="1"/>
  <c r="AH161" i="7"/>
  <c r="AH16" i="7" s="1"/>
  <c r="AB161" i="7"/>
  <c r="AB16" i="7" s="1"/>
  <c r="V161" i="7"/>
  <c r="V16" i="7" s="1"/>
  <c r="S243" i="22"/>
  <c r="R244" i="22"/>
  <c r="R245" i="22" s="1"/>
  <c r="R247" i="22" s="1"/>
  <c r="AN160" i="7"/>
  <c r="AH160" i="7"/>
  <c r="AB160" i="7"/>
  <c r="V160" i="7"/>
  <c r="Q256" i="22"/>
  <c r="Q258" i="22" s="1"/>
  <c r="Q248" i="22"/>
  <c r="S279" i="22"/>
  <c r="R280" i="22"/>
  <c r="R281" i="22" s="1"/>
  <c r="R283" i="22" s="1"/>
  <c r="AN162" i="7"/>
  <c r="AN17" i="7" s="1"/>
  <c r="AH162" i="7"/>
  <c r="AH17" i="7" s="1"/>
  <c r="AB162" i="7"/>
  <c r="AB17" i="7" s="1"/>
  <c r="V162" i="7"/>
  <c r="V17" i="7" s="1"/>
  <c r="X141" i="7"/>
  <c r="X92" i="7"/>
  <c r="X104" i="7" s="1"/>
  <c r="X45" i="7"/>
  <c r="X69" i="7"/>
  <c r="X117" i="7"/>
  <c r="F106" i="30"/>
  <c r="F101" i="30" s="1"/>
  <c r="D20" i="3" s="1"/>
  <c r="S19" i="7"/>
  <c r="S31" i="7" s="1"/>
  <c r="AG16" i="29"/>
  <c r="AG18" i="29"/>
  <c r="S22" i="29"/>
  <c r="T30" i="29" s="1"/>
  <c r="N22" i="29"/>
  <c r="AB19" i="29"/>
  <c r="V14" i="29"/>
  <c r="G214" i="26"/>
  <c r="AH157" i="7"/>
  <c r="AH159" i="7" s="1"/>
  <c r="E157" i="7"/>
  <c r="K133" i="7"/>
  <c r="AH109" i="7"/>
  <c r="AH111" i="7" s="1"/>
  <c r="E109" i="7"/>
  <c r="M85" i="7"/>
  <c r="AH61" i="7"/>
  <c r="AH63" i="7" s="1"/>
  <c r="E61" i="7"/>
  <c r="K37" i="7"/>
  <c r="AB157" i="7"/>
  <c r="AB159" i="7" s="1"/>
  <c r="D157" i="7"/>
  <c r="I133" i="7"/>
  <c r="AB109" i="7"/>
  <c r="AB111" i="7" s="1"/>
  <c r="D109" i="7"/>
  <c r="K85" i="7"/>
  <c r="AB61" i="7"/>
  <c r="AB63" i="7" s="1"/>
  <c r="D61" i="7"/>
  <c r="I37" i="7"/>
  <c r="V133" i="7"/>
  <c r="V135" i="7" s="1"/>
  <c r="V157" i="7"/>
  <c r="V159" i="7" s="1"/>
  <c r="AN133" i="7"/>
  <c r="AN135" i="7" s="1"/>
  <c r="G133" i="7"/>
  <c r="V109" i="7"/>
  <c r="V111" i="7" s="1"/>
  <c r="I85" i="7"/>
  <c r="V61" i="7"/>
  <c r="V63" i="7" s="1"/>
  <c r="AN37" i="7"/>
  <c r="AN39" i="7" s="1"/>
  <c r="G37" i="7"/>
  <c r="K109" i="7"/>
  <c r="V37" i="7"/>
  <c r="V39" i="7" s="1"/>
  <c r="G61" i="7"/>
  <c r="R157" i="7"/>
  <c r="AH133" i="7"/>
  <c r="AH135" i="7" s="1"/>
  <c r="E133" i="7"/>
  <c r="R109" i="7"/>
  <c r="AN85" i="7"/>
  <c r="AN87" i="7" s="1"/>
  <c r="G85" i="7"/>
  <c r="R61" i="7"/>
  <c r="AH37" i="7"/>
  <c r="AH39" i="7" s="1"/>
  <c r="E37" i="7"/>
  <c r="K157" i="7"/>
  <c r="AB85" i="7"/>
  <c r="AB87" i="7" s="1"/>
  <c r="K61" i="7"/>
  <c r="R85" i="7"/>
  <c r="M157" i="7"/>
  <c r="AB133" i="7"/>
  <c r="AB135" i="7" s="1"/>
  <c r="D133" i="7"/>
  <c r="M109" i="7"/>
  <c r="AH85" i="7"/>
  <c r="AH87" i="7" s="1"/>
  <c r="E85" i="7"/>
  <c r="M61" i="7"/>
  <c r="AB37" i="7"/>
  <c r="AB39" i="7" s="1"/>
  <c r="D37" i="7"/>
  <c r="D85" i="7"/>
  <c r="I157" i="7"/>
  <c r="R133" i="7"/>
  <c r="I109" i="7"/>
  <c r="V85" i="7"/>
  <c r="V87" i="7" s="1"/>
  <c r="I61" i="7"/>
  <c r="R37" i="7"/>
  <c r="AN157" i="7"/>
  <c r="AN159" i="7" s="1"/>
  <c r="G157" i="7"/>
  <c r="M133" i="7"/>
  <c r="AN109" i="7"/>
  <c r="AN111" i="7" s="1"/>
  <c r="G109" i="7"/>
  <c r="AN61" i="7"/>
  <c r="AN63" i="7" s="1"/>
  <c r="M37" i="7"/>
  <c r="M12" i="7"/>
  <c r="J51" i="1"/>
  <c r="E52" i="30" s="1"/>
  <c r="E54" i="30"/>
  <c r="T14" i="29"/>
  <c r="K12" i="7"/>
  <c r="I12" i="7"/>
  <c r="AG17" i="29"/>
  <c r="T54" i="29"/>
  <c r="V54" i="29"/>
  <c r="H154" i="26"/>
  <c r="E134" i="26"/>
  <c r="E194" i="26"/>
  <c r="H214" i="26"/>
  <c r="F134" i="26"/>
  <c r="F194" i="26"/>
  <c r="E3" i="26"/>
  <c r="G134" i="26"/>
  <c r="D174" i="26"/>
  <c r="G194" i="26"/>
  <c r="D234" i="26"/>
  <c r="H134" i="26"/>
  <c r="E174" i="26"/>
  <c r="H194" i="26"/>
  <c r="E234" i="26"/>
  <c r="D154" i="26"/>
  <c r="F174" i="26"/>
  <c r="D214" i="26"/>
  <c r="F234" i="26"/>
  <c r="E154" i="26"/>
  <c r="G174" i="26"/>
  <c r="E214" i="26"/>
  <c r="G234" i="26"/>
  <c r="F154" i="26"/>
  <c r="H174" i="26"/>
  <c r="F214" i="26"/>
  <c r="H234" i="26"/>
  <c r="D134" i="26"/>
  <c r="G154" i="26"/>
  <c r="D194" i="26"/>
  <c r="E3" i="7"/>
  <c r="B7" i="7" s="1"/>
  <c r="D17" i="22"/>
  <c r="F17" i="22"/>
  <c r="G17" i="22"/>
  <c r="H17" i="22"/>
  <c r="I17" i="22" s="1"/>
  <c r="J17" i="22" s="1"/>
  <c r="K17" i="22" s="1"/>
  <c r="L17" i="22" s="1"/>
  <c r="M17" i="22" s="1"/>
  <c r="N17" i="22" s="1"/>
  <c r="O17" i="22" s="1"/>
  <c r="P17" i="22" s="1"/>
  <c r="Q17" i="22" s="1"/>
  <c r="R17" i="22" s="1"/>
  <c r="S17" i="22" s="1"/>
  <c r="T17" i="22" s="1"/>
  <c r="U17" i="22" s="1"/>
  <c r="V17" i="22" s="1"/>
  <c r="W17" i="22" s="1"/>
  <c r="X17" i="22" s="1"/>
  <c r="Y17" i="22" s="1"/>
  <c r="Z17" i="22" s="1"/>
  <c r="AA17" i="22" s="1"/>
  <c r="E17" i="22"/>
  <c r="I52" i="26" l="1"/>
  <c r="AN23" i="7"/>
  <c r="AN31" i="7" s="1"/>
  <c r="AB23" i="7"/>
  <c r="AB31" i="7" s="1"/>
  <c r="AH23" i="7"/>
  <c r="AH31" i="7" s="1"/>
  <c r="V23" i="7"/>
  <c r="V31" i="7" s="1"/>
  <c r="X168" i="7"/>
  <c r="I92" i="26"/>
  <c r="I72" i="26"/>
  <c r="I32" i="26"/>
  <c r="I112" i="26"/>
  <c r="Z69" i="7"/>
  <c r="AA69" i="7" s="1"/>
  <c r="AC69" i="7"/>
  <c r="AD69" i="7" s="1"/>
  <c r="Z45" i="7"/>
  <c r="AA45" i="7" s="1"/>
  <c r="X20" i="7"/>
  <c r="AC45" i="7"/>
  <c r="Z92" i="7"/>
  <c r="AC92" i="7"/>
  <c r="AC104" i="7" s="1"/>
  <c r="X19" i="7"/>
  <c r="E37" i="18" s="1"/>
  <c r="Z141" i="7"/>
  <c r="AA141" i="7" s="1"/>
  <c r="AC141" i="7"/>
  <c r="AD141" i="7" s="1"/>
  <c r="T279" i="22"/>
  <c r="S280" i="22"/>
  <c r="S281" i="22" s="1"/>
  <c r="S283" i="22" s="1"/>
  <c r="R256" i="22"/>
  <c r="R258" i="22" s="1"/>
  <c r="R248" i="22"/>
  <c r="Z117" i="7"/>
  <c r="AA117" i="7" s="1"/>
  <c r="AC117" i="7"/>
  <c r="AD117" i="7" s="1"/>
  <c r="R292" i="22"/>
  <c r="R294" i="22" s="1"/>
  <c r="R284" i="22"/>
  <c r="T243" i="22"/>
  <c r="S244" i="22"/>
  <c r="S245" i="22" s="1"/>
  <c r="S247" i="22" s="1"/>
  <c r="O60" i="7"/>
  <c r="O84" i="7"/>
  <c r="AT37" i="7"/>
  <c r="W39" i="7"/>
  <c r="R38" i="7"/>
  <c r="O156" i="7"/>
  <c r="AT85" i="7"/>
  <c r="R86" i="7"/>
  <c r="W87" i="7"/>
  <c r="AT157" i="7"/>
  <c r="R158" i="7"/>
  <c r="W159" i="7"/>
  <c r="AT133" i="7"/>
  <c r="W135" i="7"/>
  <c r="R134" i="7"/>
  <c r="R110" i="7"/>
  <c r="W111" i="7"/>
  <c r="AT61" i="7"/>
  <c r="R62" i="7"/>
  <c r="W63" i="7"/>
  <c r="AG15" i="29"/>
  <c r="AL16" i="29"/>
  <c r="AL18" i="29"/>
  <c r="T22" i="29"/>
  <c r="V22" i="29"/>
  <c r="AG19" i="29"/>
  <c r="AG20" i="29"/>
  <c r="O132" i="7"/>
  <c r="O108" i="7"/>
  <c r="O36" i="7"/>
  <c r="AT109" i="7"/>
  <c r="I214" i="26"/>
  <c r="I154" i="26"/>
  <c r="AL17" i="29"/>
  <c r="I134" i="26"/>
  <c r="I194" i="26"/>
  <c r="I234" i="26"/>
  <c r="I174" i="26"/>
  <c r="Z19" i="7" l="1"/>
  <c r="Z104" i="7"/>
  <c r="Z168" i="7"/>
  <c r="AA168" i="7" s="1"/>
  <c r="AC168" i="7"/>
  <c r="AD168" i="7" s="1"/>
  <c r="AF141" i="7"/>
  <c r="AI141" i="7"/>
  <c r="AJ141" i="7" s="1"/>
  <c r="AF69" i="7"/>
  <c r="AG69" i="7" s="1"/>
  <c r="AI69" i="7"/>
  <c r="AJ69" i="7" s="1"/>
  <c r="U243" i="22"/>
  <c r="T244" i="22"/>
  <c r="T245" i="22" s="1"/>
  <c r="T247" i="22" s="1"/>
  <c r="S292" i="22"/>
  <c r="S294" i="22" s="1"/>
  <c r="S284" i="22"/>
  <c r="E38" i="18"/>
  <c r="E171" i="22"/>
  <c r="E172" i="22" s="1"/>
  <c r="E173" i="22" s="1"/>
  <c r="E175" i="22" s="1"/>
  <c r="Q134" i="13"/>
  <c r="AA92" i="7"/>
  <c r="S256" i="22"/>
  <c r="S258" i="22" s="1"/>
  <c r="S248" i="22"/>
  <c r="AF117" i="7"/>
  <c r="AI117" i="7"/>
  <c r="AC20" i="7"/>
  <c r="AD45" i="7"/>
  <c r="U279" i="22"/>
  <c r="T280" i="22"/>
  <c r="T281" i="22" s="1"/>
  <c r="T283" i="22" s="1"/>
  <c r="AC19" i="7"/>
  <c r="AD92" i="7"/>
  <c r="AD104" i="7" s="1"/>
  <c r="Z20" i="7"/>
  <c r="AQ16" i="29"/>
  <c r="AL20" i="29"/>
  <c r="AL15" i="29"/>
  <c r="AL19" i="29"/>
  <c r="AQ18" i="29"/>
  <c r="AQ17" i="29"/>
  <c r="C3" i="3"/>
  <c r="C3" i="2"/>
  <c r="H9" i="2" s="1"/>
  <c r="C3" i="1"/>
  <c r="C2" i="3"/>
  <c r="C2" i="2"/>
  <c r="C2" i="1"/>
  <c r="H74" i="18"/>
  <c r="C3" i="6"/>
  <c r="C3" i="12"/>
  <c r="C3" i="5"/>
  <c r="C2" i="6"/>
  <c r="C2" i="12"/>
  <c r="C2" i="5"/>
  <c r="C3" i="4"/>
  <c r="C2" i="4"/>
  <c r="E4" i="17"/>
  <c r="AI168" i="7" l="1"/>
  <c r="AJ168" i="7" s="1"/>
  <c r="AF168" i="7"/>
  <c r="AG168" i="7" s="1"/>
  <c r="J97" i="1"/>
  <c r="J11" i="1"/>
  <c r="J86" i="1"/>
  <c r="J49" i="1"/>
  <c r="J67" i="1"/>
  <c r="J31" i="1"/>
  <c r="E207" i="22"/>
  <c r="E208" i="22" s="1"/>
  <c r="E209" i="22" s="1"/>
  <c r="E211" i="22" s="1"/>
  <c r="Q135" i="13"/>
  <c r="R135" i="13" s="1"/>
  <c r="AA20" i="7"/>
  <c r="V279" i="22"/>
  <c r="U280" i="22"/>
  <c r="U281" i="22" s="1"/>
  <c r="U283" i="22" s="1"/>
  <c r="T256" i="22"/>
  <c r="T258" i="22" s="1"/>
  <c r="T248" i="22"/>
  <c r="AF92" i="7"/>
  <c r="AF104" i="7" s="1"/>
  <c r="AI92" i="7"/>
  <c r="AI104" i="7" s="1"/>
  <c r="AD19" i="7"/>
  <c r="F37" i="18" s="1"/>
  <c r="AO117" i="7"/>
  <c r="AP117" i="7" s="1"/>
  <c r="AR117" i="7" s="1"/>
  <c r="AJ117" i="7"/>
  <c r="AL117" i="7" s="1"/>
  <c r="AM117" i="7" s="1"/>
  <c r="V243" i="22"/>
  <c r="U244" i="22"/>
  <c r="U245" i="22" s="1"/>
  <c r="U247" i="22" s="1"/>
  <c r="AL141" i="7"/>
  <c r="AM141" i="7" s="1"/>
  <c r="AO141" i="7"/>
  <c r="AP141" i="7" s="1"/>
  <c r="AR141" i="7" s="1"/>
  <c r="AG117" i="7"/>
  <c r="AG141" i="7"/>
  <c r="T292" i="22"/>
  <c r="T294" i="22" s="1"/>
  <c r="T284" i="22"/>
  <c r="AF45" i="7"/>
  <c r="AD20" i="7"/>
  <c r="AI45" i="7"/>
  <c r="E176" i="22"/>
  <c r="E184" i="22"/>
  <c r="E186" i="22" s="1"/>
  <c r="AL69" i="7"/>
  <c r="AM69" i="7" s="1"/>
  <c r="AO69" i="7"/>
  <c r="AP69" i="7" s="1"/>
  <c r="AR69" i="7" s="1"/>
  <c r="D100" i="12"/>
  <c r="D122" i="12"/>
  <c r="D78" i="12"/>
  <c r="D34" i="12"/>
  <c r="D56" i="12"/>
  <c r="AX16" i="29"/>
  <c r="AX18" i="29"/>
  <c r="AQ19" i="29"/>
  <c r="AQ15" i="29"/>
  <c r="AQ20" i="29"/>
  <c r="AD153" i="6"/>
  <c r="D153" i="6"/>
  <c r="O130" i="6"/>
  <c r="AD107" i="6"/>
  <c r="D107" i="6"/>
  <c r="O84" i="6"/>
  <c r="AD60" i="6"/>
  <c r="D60" i="6"/>
  <c r="O36" i="6"/>
  <c r="L36" i="6"/>
  <c r="D36" i="6"/>
  <c r="X130" i="6"/>
  <c r="I60" i="6"/>
  <c r="AG107" i="6"/>
  <c r="AA153" i="6"/>
  <c r="L130" i="6"/>
  <c r="AA107" i="6"/>
  <c r="L84" i="6"/>
  <c r="AA60" i="6"/>
  <c r="L60" i="6"/>
  <c r="AJ107" i="6"/>
  <c r="F107" i="6"/>
  <c r="R36" i="6"/>
  <c r="X153" i="6"/>
  <c r="AJ130" i="6"/>
  <c r="I130" i="6"/>
  <c r="X107" i="6"/>
  <c r="AJ84" i="6"/>
  <c r="I84" i="6"/>
  <c r="X60" i="6"/>
  <c r="AJ36" i="6"/>
  <c r="I36" i="6"/>
  <c r="F36" i="6"/>
  <c r="AD36" i="6"/>
  <c r="I107" i="6"/>
  <c r="X36" i="6"/>
  <c r="R130" i="6"/>
  <c r="R153" i="6"/>
  <c r="AG130" i="6"/>
  <c r="F130" i="6"/>
  <c r="R107" i="6"/>
  <c r="AG84" i="6"/>
  <c r="F84" i="6"/>
  <c r="R60" i="6"/>
  <c r="AG36" i="6"/>
  <c r="X84" i="6"/>
  <c r="AG153" i="6"/>
  <c r="AG60" i="6"/>
  <c r="O153" i="6"/>
  <c r="AD130" i="6"/>
  <c r="D130" i="6"/>
  <c r="O107" i="6"/>
  <c r="AD84" i="6"/>
  <c r="D84" i="6"/>
  <c r="O60" i="6"/>
  <c r="AJ153" i="6"/>
  <c r="R84" i="6"/>
  <c r="L153" i="6"/>
  <c r="AA130" i="6"/>
  <c r="L107" i="6"/>
  <c r="AA84" i="6"/>
  <c r="AA36" i="6"/>
  <c r="I153" i="6"/>
  <c r="AJ60" i="6"/>
  <c r="F153" i="6"/>
  <c r="F60" i="6"/>
  <c r="O151" i="5"/>
  <c r="AC128" i="5"/>
  <c r="L105" i="5"/>
  <c r="X82" i="5"/>
  <c r="AR59" i="5"/>
  <c r="I59" i="5"/>
  <c r="AC36" i="5"/>
  <c r="R151" i="5"/>
  <c r="AH36" i="5"/>
  <c r="L151" i="5"/>
  <c r="X128" i="5"/>
  <c r="AR105" i="5"/>
  <c r="I105" i="5"/>
  <c r="R82" i="5"/>
  <c r="AM59" i="5"/>
  <c r="F59" i="5"/>
  <c r="X36" i="5"/>
  <c r="AH128" i="5"/>
  <c r="D36" i="5"/>
  <c r="AR151" i="5"/>
  <c r="I151" i="5"/>
  <c r="R128" i="5"/>
  <c r="AM105" i="5"/>
  <c r="F105" i="5"/>
  <c r="O82" i="5"/>
  <c r="AH59" i="5"/>
  <c r="D59" i="5"/>
  <c r="R36" i="5"/>
  <c r="O105" i="5"/>
  <c r="AM151" i="5"/>
  <c r="F151" i="5"/>
  <c r="O128" i="5"/>
  <c r="AH105" i="5"/>
  <c r="D105" i="5"/>
  <c r="L82" i="5"/>
  <c r="AC59" i="5"/>
  <c r="O36" i="5"/>
  <c r="AC82" i="5"/>
  <c r="AH151" i="5"/>
  <c r="D151" i="5"/>
  <c r="L128" i="5"/>
  <c r="AC105" i="5"/>
  <c r="AR82" i="5"/>
  <c r="I82" i="5"/>
  <c r="X59" i="5"/>
  <c r="L36" i="5"/>
  <c r="D128" i="5"/>
  <c r="AC151" i="5"/>
  <c r="AR128" i="5"/>
  <c r="I128" i="5"/>
  <c r="X105" i="5"/>
  <c r="AW105" i="5" s="1"/>
  <c r="AM82" i="5"/>
  <c r="F82" i="5"/>
  <c r="R59" i="5"/>
  <c r="AR36" i="5"/>
  <c r="I36" i="5"/>
  <c r="X151" i="5"/>
  <c r="AM128" i="5"/>
  <c r="F128" i="5"/>
  <c r="R105" i="5"/>
  <c r="AH82" i="5"/>
  <c r="D82" i="5"/>
  <c r="U81" i="5" s="1"/>
  <c r="O59" i="5"/>
  <c r="AM36" i="5"/>
  <c r="F36" i="5"/>
  <c r="L59" i="5"/>
  <c r="AJ174" i="4"/>
  <c r="I174" i="4"/>
  <c r="X151" i="4"/>
  <c r="AG128" i="4"/>
  <c r="F128" i="4"/>
  <c r="R105" i="4"/>
  <c r="AD82" i="4"/>
  <c r="D82" i="4"/>
  <c r="L59" i="4"/>
  <c r="AA36" i="4"/>
  <c r="AJ151" i="4"/>
  <c r="F105" i="4"/>
  <c r="R59" i="4"/>
  <c r="AJ128" i="4"/>
  <c r="O59" i="4"/>
  <c r="AG174" i="4"/>
  <c r="F174" i="4"/>
  <c r="R151" i="4"/>
  <c r="AD128" i="4"/>
  <c r="D128" i="4"/>
  <c r="O105" i="4"/>
  <c r="AA82" i="4"/>
  <c r="AJ59" i="4"/>
  <c r="I59" i="4"/>
  <c r="X36" i="4"/>
  <c r="X174" i="4"/>
  <c r="AG105" i="4"/>
  <c r="AA59" i="4"/>
  <c r="AA105" i="4"/>
  <c r="AA151" i="4"/>
  <c r="X105" i="4"/>
  <c r="D36" i="4"/>
  <c r="AD174" i="4"/>
  <c r="D174" i="4"/>
  <c r="O151" i="4"/>
  <c r="AA128" i="4"/>
  <c r="L105" i="4"/>
  <c r="X82" i="4"/>
  <c r="AG59" i="4"/>
  <c r="F59" i="4"/>
  <c r="R36" i="4"/>
  <c r="R128" i="4"/>
  <c r="L36" i="4"/>
  <c r="AG82" i="4"/>
  <c r="AA174" i="4"/>
  <c r="L151" i="4"/>
  <c r="X128" i="4"/>
  <c r="AJ105" i="4"/>
  <c r="I105" i="4"/>
  <c r="R82" i="4"/>
  <c r="AD59" i="4"/>
  <c r="D59" i="4"/>
  <c r="O36" i="4"/>
  <c r="I151" i="4"/>
  <c r="O82" i="4"/>
  <c r="I82" i="4"/>
  <c r="F36" i="4"/>
  <c r="L174" i="4"/>
  <c r="F82" i="4"/>
  <c r="R174" i="4"/>
  <c r="AG151" i="4"/>
  <c r="F151" i="4"/>
  <c r="O128" i="4"/>
  <c r="AD105" i="4"/>
  <c r="D105" i="4"/>
  <c r="L82" i="4"/>
  <c r="X59" i="4"/>
  <c r="AJ36" i="4"/>
  <c r="I36" i="4"/>
  <c r="O174" i="4"/>
  <c r="AD151" i="4"/>
  <c r="D151" i="4"/>
  <c r="L128" i="4"/>
  <c r="AJ82" i="4"/>
  <c r="AG36" i="4"/>
  <c r="I128" i="4"/>
  <c r="AD36" i="4"/>
  <c r="R12" i="6"/>
  <c r="R12" i="5"/>
  <c r="R12" i="4"/>
  <c r="G49" i="1"/>
  <c r="F49" i="1"/>
  <c r="E49" i="1"/>
  <c r="H49" i="1"/>
  <c r="I49" i="1"/>
  <c r="O12" i="6"/>
  <c r="I97" i="1"/>
  <c r="I86" i="1"/>
  <c r="I67" i="1"/>
  <c r="I31" i="1"/>
  <c r="I11" i="1"/>
  <c r="J108" i="1"/>
  <c r="I108" i="1"/>
  <c r="L12" i="6"/>
  <c r="O12" i="4"/>
  <c r="O12" i="5"/>
  <c r="L12" i="5"/>
  <c r="D12" i="12"/>
  <c r="D95" i="18"/>
  <c r="G74" i="18"/>
  <c r="E32" i="18"/>
  <c r="H11" i="18"/>
  <c r="H116" i="18"/>
  <c r="F74" i="18"/>
  <c r="D32" i="18"/>
  <c r="G11" i="18"/>
  <c r="G116" i="18"/>
  <c r="E74" i="18"/>
  <c r="H53" i="18"/>
  <c r="F11" i="18"/>
  <c r="F116" i="18"/>
  <c r="D74" i="18"/>
  <c r="G53" i="18"/>
  <c r="E11" i="18"/>
  <c r="E116" i="18"/>
  <c r="H95" i="18"/>
  <c r="F53" i="18"/>
  <c r="D11" i="18"/>
  <c r="D116" i="18"/>
  <c r="G95" i="18"/>
  <c r="E53" i="18"/>
  <c r="H32" i="18"/>
  <c r="F95" i="18"/>
  <c r="D53" i="18"/>
  <c r="G32" i="18"/>
  <c r="E95" i="18"/>
  <c r="F32" i="18"/>
  <c r="U150" i="5" l="1"/>
  <c r="AL168" i="7"/>
  <c r="AM168" i="7" s="1"/>
  <c r="AO168" i="7"/>
  <c r="AP168" i="7" s="1"/>
  <c r="AR168" i="7" s="1"/>
  <c r="AM84" i="6"/>
  <c r="AW128" i="5"/>
  <c r="AT117" i="7"/>
  <c r="AI20" i="7"/>
  <c r="AJ45" i="7"/>
  <c r="AU117" i="7"/>
  <c r="AS117" i="7"/>
  <c r="U292" i="22"/>
  <c r="U294" i="22" s="1"/>
  <c r="U284" i="22"/>
  <c r="F38" i="18"/>
  <c r="AT141" i="7"/>
  <c r="U256" i="22"/>
  <c r="U258" i="22" s="1"/>
  <c r="U248" i="22"/>
  <c r="W279" i="22"/>
  <c r="V280" i="22"/>
  <c r="V281" i="22" s="1"/>
  <c r="V283" i="22" s="1"/>
  <c r="E212" i="22"/>
  <c r="E220" i="22"/>
  <c r="E222" i="22" s="1"/>
  <c r="AF20" i="7"/>
  <c r="AG45" i="7"/>
  <c r="AT69" i="7"/>
  <c r="W243" i="22"/>
  <c r="V244" i="22"/>
  <c r="V245" i="22" s="1"/>
  <c r="V247" i="22" s="1"/>
  <c r="AI19" i="7"/>
  <c r="AJ92" i="7"/>
  <c r="AJ104" i="7" s="1"/>
  <c r="AS69" i="7"/>
  <c r="AU69" i="7"/>
  <c r="AU141" i="7"/>
  <c r="AS141" i="7"/>
  <c r="AF19" i="7"/>
  <c r="AG92" i="7"/>
  <c r="U129" i="6"/>
  <c r="AM153" i="6"/>
  <c r="U59" i="6"/>
  <c r="U83" i="6"/>
  <c r="AM107" i="6"/>
  <c r="AV16" i="29"/>
  <c r="AX20" i="29"/>
  <c r="AV15" i="29"/>
  <c r="AV18" i="29"/>
  <c r="AX17" i="29"/>
  <c r="AV17" i="29"/>
  <c r="AW36" i="5"/>
  <c r="AW82" i="5"/>
  <c r="AM105" i="4"/>
  <c r="AM151" i="4"/>
  <c r="U150" i="4"/>
  <c r="U127" i="4"/>
  <c r="U81" i="4"/>
  <c r="AM59" i="4"/>
  <c r="AM82" i="4"/>
  <c r="AM60" i="6"/>
  <c r="U106" i="6"/>
  <c r="AM36" i="6"/>
  <c r="AM130" i="6"/>
  <c r="U35" i="6"/>
  <c r="U152" i="6"/>
  <c r="U127" i="5"/>
  <c r="AW59" i="5"/>
  <c r="AW151" i="5"/>
  <c r="U58" i="5"/>
  <c r="U35" i="5"/>
  <c r="U104" i="5"/>
  <c r="AM128" i="4"/>
  <c r="U58" i="4"/>
  <c r="U173" i="4"/>
  <c r="U104" i="4"/>
  <c r="U35" i="4"/>
  <c r="AM36" i="4"/>
  <c r="AM174" i="4"/>
  <c r="F171" i="22" l="1"/>
  <c r="F172" i="22" s="1"/>
  <c r="F173" i="22" s="1"/>
  <c r="F175" i="22" s="1"/>
  <c r="F176" i="22" s="1"/>
  <c r="AT168" i="7"/>
  <c r="AU168" i="7"/>
  <c r="AS168" i="7"/>
  <c r="AL92" i="7"/>
  <c r="AL104" i="7" s="1"/>
  <c r="AO92" i="7"/>
  <c r="AO104" i="7" s="1"/>
  <c r="AJ19" i="7"/>
  <c r="G37" i="18" s="1"/>
  <c r="V292" i="22"/>
  <c r="V294" i="22" s="1"/>
  <c r="V284" i="22"/>
  <c r="AL45" i="7"/>
  <c r="AJ20" i="7"/>
  <c r="AO45" i="7"/>
  <c r="X279" i="22"/>
  <c r="W280" i="22"/>
  <c r="W281" i="22" s="1"/>
  <c r="W283" i="22" s="1"/>
  <c r="V256" i="22"/>
  <c r="V258" i="22" s="1"/>
  <c r="V248" i="22"/>
  <c r="X243" i="22"/>
  <c r="W244" i="22"/>
  <c r="W245" i="22" s="1"/>
  <c r="W247" i="22" s="1"/>
  <c r="F207" i="22"/>
  <c r="F208" i="22" s="1"/>
  <c r="F209" i="22" s="1"/>
  <c r="F211" i="22" s="1"/>
  <c r="AG20" i="7"/>
  <c r="S135" i="13"/>
  <c r="T135" i="13" s="1"/>
  <c r="AX15" i="29"/>
  <c r="AV20" i="29"/>
  <c r="AX19" i="29"/>
  <c r="AV19" i="29"/>
  <c r="E3" i="4"/>
  <c r="B7" i="4" s="1"/>
  <c r="E3" i="5"/>
  <c r="B7" i="5" s="1"/>
  <c r="F184" i="22" l="1"/>
  <c r="F186" i="22" s="1"/>
  <c r="W248" i="22"/>
  <c r="W256" i="22"/>
  <c r="W258" i="22" s="1"/>
  <c r="Y243" i="22"/>
  <c r="X244" i="22"/>
  <c r="X245" i="22" s="1"/>
  <c r="X247" i="22" s="1"/>
  <c r="AL20" i="7"/>
  <c r="AM45" i="7"/>
  <c r="AO19" i="7"/>
  <c r="AP92" i="7"/>
  <c r="AP104" i="7" s="1"/>
  <c r="AL19" i="7"/>
  <c r="AM92" i="7"/>
  <c r="G38" i="18"/>
  <c r="W284" i="22"/>
  <c r="W292" i="22"/>
  <c r="W294" i="22" s="1"/>
  <c r="F212" i="22"/>
  <c r="F220" i="22"/>
  <c r="F222" i="22" s="1"/>
  <c r="Y279" i="22"/>
  <c r="X280" i="22"/>
  <c r="X281" i="22" s="1"/>
  <c r="X283" i="22" s="1"/>
  <c r="AO20" i="7"/>
  <c r="AP45" i="7"/>
  <c r="O108" i="13"/>
  <c r="Q108" i="13"/>
  <c r="S108" i="13"/>
  <c r="U108" i="13"/>
  <c r="W108" i="13"/>
  <c r="O109" i="13"/>
  <c r="Q109" i="13"/>
  <c r="S109" i="13"/>
  <c r="U109" i="13"/>
  <c r="W109" i="13"/>
  <c r="O110" i="13"/>
  <c r="Q110" i="13"/>
  <c r="S110" i="13"/>
  <c r="U110" i="13"/>
  <c r="W110" i="13"/>
  <c r="O123" i="13"/>
  <c r="Q123" i="13"/>
  <c r="S123" i="13"/>
  <c r="U123" i="13"/>
  <c r="W123" i="13"/>
  <c r="Q107" i="13"/>
  <c r="S107" i="13"/>
  <c r="U107" i="13"/>
  <c r="W107" i="13"/>
  <c r="D62" i="13"/>
  <c r="D63" i="13"/>
  <c r="D64" i="13"/>
  <c r="D61" i="13"/>
  <c r="D123" i="13"/>
  <c r="E123" i="13"/>
  <c r="G123" i="13"/>
  <c r="I123" i="13"/>
  <c r="K123" i="13"/>
  <c r="M150" i="13"/>
  <c r="M127" i="13"/>
  <c r="M104" i="13"/>
  <c r="M81" i="13"/>
  <c r="M58" i="13"/>
  <c r="M35" i="13"/>
  <c r="W12" i="13"/>
  <c r="U12" i="13"/>
  <c r="S12" i="13"/>
  <c r="Q12" i="13"/>
  <c r="O12" i="13"/>
  <c r="AQ15" i="7"/>
  <c r="AK15" i="7"/>
  <c r="AE18" i="7"/>
  <c r="AE17" i="7"/>
  <c r="AE15" i="7"/>
  <c r="Y18" i="7"/>
  <c r="Y17" i="7"/>
  <c r="Y16" i="7"/>
  <c r="Y15" i="7"/>
  <c r="M15" i="7"/>
  <c r="I18" i="7"/>
  <c r="I17" i="7"/>
  <c r="I16" i="7"/>
  <c r="I15" i="7"/>
  <c r="G18" i="7"/>
  <c r="G17" i="7"/>
  <c r="G16" i="7"/>
  <c r="G15" i="7"/>
  <c r="E18" i="7"/>
  <c r="E17" i="7"/>
  <c r="E16" i="7"/>
  <c r="E15" i="7"/>
  <c r="D16" i="7"/>
  <c r="D131" i="13" s="1"/>
  <c r="D17" i="7"/>
  <c r="D132" i="13" s="1"/>
  <c r="D18" i="7"/>
  <c r="D108" i="13"/>
  <c r="E108" i="13"/>
  <c r="G108" i="13"/>
  <c r="I108" i="13"/>
  <c r="K108" i="13"/>
  <c r="D109" i="13"/>
  <c r="E109" i="13"/>
  <c r="G109" i="13"/>
  <c r="I109" i="13"/>
  <c r="K109" i="13"/>
  <c r="D110" i="13"/>
  <c r="E110" i="13"/>
  <c r="G110" i="13"/>
  <c r="I110" i="13"/>
  <c r="K110" i="13"/>
  <c r="E107" i="13"/>
  <c r="G107" i="13"/>
  <c r="I107" i="13"/>
  <c r="K107" i="13"/>
  <c r="D107" i="13"/>
  <c r="AS14" i="5"/>
  <c r="E17" i="5"/>
  <c r="G17" i="5" s="1"/>
  <c r="E19" i="5"/>
  <c r="D17" i="5"/>
  <c r="U17" i="5" s="1"/>
  <c r="D19" i="5"/>
  <c r="I15" i="6"/>
  <c r="F15" i="6"/>
  <c r="E15" i="6"/>
  <c r="D41" i="13"/>
  <c r="D40" i="13"/>
  <c r="D39" i="13"/>
  <c r="D38" i="13"/>
  <c r="K12" i="13"/>
  <c r="I12" i="13"/>
  <c r="G12" i="13"/>
  <c r="E12" i="13"/>
  <c r="P160" i="7"/>
  <c r="P139" i="7"/>
  <c r="P138" i="7"/>
  <c r="P137" i="7"/>
  <c r="P136" i="7"/>
  <c r="P115" i="7"/>
  <c r="P114" i="7"/>
  <c r="P113" i="7"/>
  <c r="P112" i="7"/>
  <c r="P91" i="7"/>
  <c r="P90" i="7"/>
  <c r="P89" i="7"/>
  <c r="P88" i="7"/>
  <c r="P67" i="7"/>
  <c r="P66" i="7"/>
  <c r="P65" i="7"/>
  <c r="P64" i="7"/>
  <c r="P43" i="7"/>
  <c r="P42" i="7"/>
  <c r="P41" i="7"/>
  <c r="P40" i="7"/>
  <c r="J131" i="30"/>
  <c r="I131" i="30"/>
  <c r="H131" i="30"/>
  <c r="G131" i="30"/>
  <c r="T163" i="7"/>
  <c r="W163" i="7" s="1"/>
  <c r="T162" i="7"/>
  <c r="W162" i="7" s="1"/>
  <c r="T161" i="7"/>
  <c r="W161" i="7" s="1"/>
  <c r="J126" i="30"/>
  <c r="I126" i="30"/>
  <c r="H126" i="30"/>
  <c r="G126" i="30"/>
  <c r="T139" i="7"/>
  <c r="W139" i="7" s="1"/>
  <c r="T138" i="7"/>
  <c r="W138" i="7" s="1"/>
  <c r="T137" i="7"/>
  <c r="W137" i="7" s="1"/>
  <c r="J121" i="30"/>
  <c r="I121" i="30"/>
  <c r="H121" i="30"/>
  <c r="G121" i="30"/>
  <c r="T115" i="7"/>
  <c r="T114" i="7"/>
  <c r="W114" i="7" s="1"/>
  <c r="T113" i="7"/>
  <c r="J116" i="30"/>
  <c r="I116" i="30"/>
  <c r="H116" i="30"/>
  <c r="G116" i="30"/>
  <c r="T91" i="7"/>
  <c r="T90" i="7"/>
  <c r="T89" i="7"/>
  <c r="U89" i="7" s="1"/>
  <c r="J111" i="30"/>
  <c r="I111" i="30"/>
  <c r="H111" i="30"/>
  <c r="G111" i="30"/>
  <c r="T67" i="7"/>
  <c r="T66" i="7"/>
  <c r="U66" i="7" s="1"/>
  <c r="T65" i="7"/>
  <c r="D12" i="13"/>
  <c r="J93" i="1"/>
  <c r="H93" i="1"/>
  <c r="G93" i="1"/>
  <c r="F93" i="1"/>
  <c r="E93" i="1"/>
  <c r="J163" i="7"/>
  <c r="H163" i="7"/>
  <c r="F163" i="7"/>
  <c r="J162" i="7"/>
  <c r="H162" i="7"/>
  <c r="F162" i="7"/>
  <c r="J161" i="7"/>
  <c r="H161" i="7"/>
  <c r="F161" i="7"/>
  <c r="O160" i="7"/>
  <c r="N160" i="7"/>
  <c r="J160" i="7"/>
  <c r="H160" i="7"/>
  <c r="F160" i="7"/>
  <c r="J92" i="1"/>
  <c r="H92" i="1"/>
  <c r="G92" i="1"/>
  <c r="F92" i="1"/>
  <c r="E92" i="1"/>
  <c r="O139" i="7"/>
  <c r="N139" i="7"/>
  <c r="J139" i="7"/>
  <c r="H139" i="7"/>
  <c r="F139" i="7"/>
  <c r="O138" i="7"/>
  <c r="N138" i="7"/>
  <c r="J138" i="7"/>
  <c r="H138" i="7"/>
  <c r="F138" i="7"/>
  <c r="O137" i="7"/>
  <c r="N137" i="7"/>
  <c r="J137" i="7"/>
  <c r="H137" i="7"/>
  <c r="F137" i="7"/>
  <c r="O136" i="7"/>
  <c r="N136" i="7"/>
  <c r="J136" i="7"/>
  <c r="H136" i="7"/>
  <c r="F136" i="7"/>
  <c r="J91" i="1"/>
  <c r="G91" i="1"/>
  <c r="F91" i="1"/>
  <c r="E91" i="1"/>
  <c r="O115" i="7"/>
  <c r="N115" i="7"/>
  <c r="J115" i="7"/>
  <c r="H115" i="7"/>
  <c r="F115" i="7"/>
  <c r="O114" i="7"/>
  <c r="N114" i="7"/>
  <c r="J114" i="7"/>
  <c r="H114" i="7"/>
  <c r="F114" i="7"/>
  <c r="O113" i="7"/>
  <c r="N113" i="7"/>
  <c r="J113" i="7"/>
  <c r="H113" i="7"/>
  <c r="F113" i="7"/>
  <c r="O112" i="7"/>
  <c r="N112" i="7"/>
  <c r="J112" i="7"/>
  <c r="F112" i="7"/>
  <c r="J90" i="1"/>
  <c r="G90" i="1"/>
  <c r="F90" i="1"/>
  <c r="E90" i="1"/>
  <c r="O91" i="7"/>
  <c r="N91" i="7"/>
  <c r="J91" i="7"/>
  <c r="H91" i="7"/>
  <c r="F91" i="7"/>
  <c r="O90" i="7"/>
  <c r="N90" i="7"/>
  <c r="J90" i="7"/>
  <c r="H90" i="7"/>
  <c r="F90" i="7"/>
  <c r="O89" i="7"/>
  <c r="N89" i="7"/>
  <c r="J89" i="7"/>
  <c r="H89" i="7"/>
  <c r="F89" i="7"/>
  <c r="O88" i="7"/>
  <c r="O104" i="7" s="1"/>
  <c r="N88" i="7"/>
  <c r="J88" i="7"/>
  <c r="H88" i="7"/>
  <c r="F88" i="7"/>
  <c r="J89" i="1"/>
  <c r="H89" i="1"/>
  <c r="G89" i="1"/>
  <c r="F89" i="1"/>
  <c r="E89" i="1"/>
  <c r="O67" i="7"/>
  <c r="N67" i="7"/>
  <c r="J67" i="7"/>
  <c r="H67" i="7"/>
  <c r="F67" i="7"/>
  <c r="O66" i="7"/>
  <c r="N66" i="7"/>
  <c r="J66" i="7"/>
  <c r="H66" i="7"/>
  <c r="F66" i="7"/>
  <c r="O65" i="7"/>
  <c r="N65" i="7"/>
  <c r="J65" i="7"/>
  <c r="H65" i="7"/>
  <c r="F65" i="7"/>
  <c r="O64" i="7"/>
  <c r="N64" i="7"/>
  <c r="J64" i="7"/>
  <c r="H64" i="7"/>
  <c r="F64" i="7"/>
  <c r="N43" i="7"/>
  <c r="N42" i="7"/>
  <c r="N41" i="7"/>
  <c r="N40" i="7"/>
  <c r="J43" i="7"/>
  <c r="J42" i="7"/>
  <c r="J41" i="7"/>
  <c r="J40" i="7"/>
  <c r="H43" i="7"/>
  <c r="H42" i="7"/>
  <c r="H41" i="7"/>
  <c r="H40" i="7"/>
  <c r="F41" i="7"/>
  <c r="F42" i="7"/>
  <c r="F43" i="7"/>
  <c r="F40" i="7"/>
  <c r="AR38" i="5"/>
  <c r="AM38" i="5"/>
  <c r="AH38" i="5"/>
  <c r="AC38" i="5"/>
  <c r="AS20" i="5"/>
  <c r="AS19" i="5"/>
  <c r="AO30" i="5"/>
  <c r="AN14" i="5"/>
  <c r="AN30" i="5" s="1"/>
  <c r="AI20" i="5"/>
  <c r="AI14" i="5"/>
  <c r="AD20" i="5"/>
  <c r="AD14" i="5"/>
  <c r="Z14" i="5"/>
  <c r="Y20" i="5"/>
  <c r="E3" i="12"/>
  <c r="W115" i="7" l="1"/>
  <c r="W128" i="7" s="1"/>
  <c r="T128" i="7"/>
  <c r="G171" i="22"/>
  <c r="G172" i="22" s="1"/>
  <c r="G173" i="22" s="1"/>
  <c r="G175" i="22" s="1"/>
  <c r="G176" i="22" s="1"/>
  <c r="AR14" i="5"/>
  <c r="AM14" i="5"/>
  <c r="G35" i="30"/>
  <c r="AC14" i="5"/>
  <c r="H35" i="30"/>
  <c r="AH14" i="5"/>
  <c r="U113" i="7"/>
  <c r="W113" i="7"/>
  <c r="Z243" i="22"/>
  <c r="Y244" i="22"/>
  <c r="Y245" i="22" s="1"/>
  <c r="Y247" i="22" s="1"/>
  <c r="AR45" i="7"/>
  <c r="AP20" i="7"/>
  <c r="AR92" i="7"/>
  <c r="AR104" i="7" s="1"/>
  <c r="AP19" i="7"/>
  <c r="H37" i="18" s="1"/>
  <c r="G207" i="22"/>
  <c r="G208" i="22" s="1"/>
  <c r="G209" i="22" s="1"/>
  <c r="G211" i="22" s="1"/>
  <c r="AM20" i="7"/>
  <c r="U135" i="13"/>
  <c r="V135" i="13" s="1"/>
  <c r="Z279" i="22"/>
  <c r="Y280" i="22"/>
  <c r="Y281" i="22" s="1"/>
  <c r="Y283" i="22" s="1"/>
  <c r="X284" i="22"/>
  <c r="X292" i="22"/>
  <c r="X294" i="22" s="1"/>
  <c r="X248" i="22"/>
  <c r="X256" i="22"/>
  <c r="X258" i="22" s="1"/>
  <c r="G124" i="30"/>
  <c r="I124" i="30"/>
  <c r="H129" i="30"/>
  <c r="J129" i="30"/>
  <c r="T160" i="7"/>
  <c r="U160" i="7" s="1"/>
  <c r="F129" i="30"/>
  <c r="F128" i="30" s="1"/>
  <c r="H124" i="30"/>
  <c r="T136" i="7"/>
  <c r="F124" i="30"/>
  <c r="F123" i="30" s="1"/>
  <c r="AI30" i="5"/>
  <c r="D155" i="13"/>
  <c r="G119" i="30"/>
  <c r="I119" i="30"/>
  <c r="H119" i="30"/>
  <c r="J119" i="30"/>
  <c r="G114" i="30"/>
  <c r="I114" i="30"/>
  <c r="H114" i="30"/>
  <c r="J114" i="30"/>
  <c r="J106" i="30"/>
  <c r="J101" i="30" s="1"/>
  <c r="H20" i="3" s="1"/>
  <c r="G106" i="30"/>
  <c r="G101" i="30" s="1"/>
  <c r="E20" i="3" s="1"/>
  <c r="Y19" i="7"/>
  <c r="Y31" i="7" s="1"/>
  <c r="H106" i="30"/>
  <c r="H101" i="30" s="1"/>
  <c r="F20" i="3" s="1"/>
  <c r="AE19" i="7"/>
  <c r="AE31" i="7" s="1"/>
  <c r="I106" i="30"/>
  <c r="I101" i="30" s="1"/>
  <c r="G20" i="3" s="1"/>
  <c r="F76" i="18"/>
  <c r="G76" i="18"/>
  <c r="F12" i="12"/>
  <c r="F122" i="12"/>
  <c r="F78" i="12"/>
  <c r="F56" i="12"/>
  <c r="F34" i="12"/>
  <c r="F100" i="12"/>
  <c r="AJ30" i="5"/>
  <c r="D154" i="13"/>
  <c r="AT30" i="5"/>
  <c r="AS30" i="5"/>
  <c r="AD30" i="5"/>
  <c r="AE30" i="5"/>
  <c r="U161" i="7"/>
  <c r="U115" i="7"/>
  <c r="U91" i="7"/>
  <c r="U139" i="7"/>
  <c r="U67" i="7"/>
  <c r="U138" i="7"/>
  <c r="U114" i="7"/>
  <c r="U90" i="7"/>
  <c r="U137" i="7"/>
  <c r="U65" i="7"/>
  <c r="F18" i="7"/>
  <c r="X123" i="13"/>
  <c r="R110" i="13"/>
  <c r="H110" i="13"/>
  <c r="F108" i="13"/>
  <c r="H109" i="13"/>
  <c r="L108" i="13"/>
  <c r="J123" i="13"/>
  <c r="R123" i="13"/>
  <c r="V109" i="13"/>
  <c r="H108" i="13"/>
  <c r="F110" i="13"/>
  <c r="X107" i="13"/>
  <c r="T107" i="13"/>
  <c r="V110" i="13"/>
  <c r="F123" i="13"/>
  <c r="T123" i="13"/>
  <c r="X109" i="13"/>
  <c r="F16" i="7"/>
  <c r="N15" i="7"/>
  <c r="F176" i="7"/>
  <c r="F17" i="7"/>
  <c r="H18" i="7"/>
  <c r="H17" i="7"/>
  <c r="J17" i="7"/>
  <c r="J18" i="7"/>
  <c r="B7" i="12"/>
  <c r="G60" i="18"/>
  <c r="G39" i="30"/>
  <c r="I39" i="30"/>
  <c r="J107" i="13"/>
  <c r="L109" i="13"/>
  <c r="T108" i="13"/>
  <c r="T110" i="13"/>
  <c r="L107" i="13"/>
  <c r="J110" i="13"/>
  <c r="L123" i="13"/>
  <c r="R108" i="13"/>
  <c r="H123" i="13"/>
  <c r="P109" i="13"/>
  <c r="R107" i="13"/>
  <c r="P108" i="13"/>
  <c r="V123" i="13"/>
  <c r="P110" i="13"/>
  <c r="H107" i="13"/>
  <c r="J109" i="13"/>
  <c r="P107" i="13"/>
  <c r="F107" i="13"/>
  <c r="P123" i="13"/>
  <c r="T109" i="13"/>
  <c r="X108" i="13"/>
  <c r="L110" i="13"/>
  <c r="F109" i="13"/>
  <c r="J108" i="13"/>
  <c r="V107" i="13"/>
  <c r="Y110" i="13"/>
  <c r="X110" i="13"/>
  <c r="R109" i="13"/>
  <c r="V108" i="13"/>
  <c r="Y123" i="13"/>
  <c r="Y108" i="13"/>
  <c r="J128" i="7"/>
  <c r="J16" i="7"/>
  <c r="H16" i="7"/>
  <c r="F152" i="7"/>
  <c r="J152" i="7"/>
  <c r="P104" i="7"/>
  <c r="H80" i="7"/>
  <c r="P80" i="7"/>
  <c r="P128" i="7"/>
  <c r="P152" i="7"/>
  <c r="H176" i="7"/>
  <c r="P176" i="7"/>
  <c r="J104" i="7"/>
  <c r="F80" i="7"/>
  <c r="H152" i="7"/>
  <c r="N80" i="7"/>
  <c r="J176" i="7"/>
  <c r="H15" i="7"/>
  <c r="F104" i="7"/>
  <c r="N152" i="7"/>
  <c r="J15" i="7"/>
  <c r="D133" i="13"/>
  <c r="J80" i="7"/>
  <c r="H104" i="7"/>
  <c r="F128" i="7"/>
  <c r="H128" i="7"/>
  <c r="N128" i="7"/>
  <c r="M123" i="13"/>
  <c r="M107" i="13"/>
  <c r="M108" i="13"/>
  <c r="M109" i="13"/>
  <c r="M110" i="13"/>
  <c r="Y107" i="13"/>
  <c r="Y109" i="13"/>
  <c r="H45" i="30"/>
  <c r="F43" i="30"/>
  <c r="H41" i="30"/>
  <c r="I41" i="30"/>
  <c r="J41" i="30"/>
  <c r="D86" i="13"/>
  <c r="I43" i="30"/>
  <c r="G37" i="30"/>
  <c r="J37" i="30"/>
  <c r="E60" i="18"/>
  <c r="F60" i="18"/>
  <c r="I35" i="30"/>
  <c r="H37" i="30"/>
  <c r="J39" i="30"/>
  <c r="J43" i="30"/>
  <c r="I45" i="30"/>
  <c r="I37" i="30"/>
  <c r="G41" i="30"/>
  <c r="G43" i="30"/>
  <c r="D85" i="13"/>
  <c r="G129" i="30"/>
  <c r="I129" i="30"/>
  <c r="J124" i="30"/>
  <c r="H43" i="30"/>
  <c r="H60" i="18"/>
  <c r="E59" i="18"/>
  <c r="F45" i="30"/>
  <c r="J45" i="30"/>
  <c r="G45" i="30"/>
  <c r="H39" i="30"/>
  <c r="N176" i="7"/>
  <c r="N104" i="7"/>
  <c r="N37" i="9"/>
  <c r="M37" i="9"/>
  <c r="L37" i="9"/>
  <c r="K37" i="9"/>
  <c r="J37" i="9"/>
  <c r="F37" i="9"/>
  <c r="E37" i="9"/>
  <c r="D37" i="9"/>
  <c r="D15" i="13"/>
  <c r="AR12" i="9"/>
  <c r="AN12" i="9"/>
  <c r="AJ12" i="9"/>
  <c r="AF12" i="9"/>
  <c r="AB12" i="9"/>
  <c r="L12" i="9"/>
  <c r="H12" i="9"/>
  <c r="D12" i="9"/>
  <c r="O43" i="7"/>
  <c r="O42" i="7"/>
  <c r="O41" i="7"/>
  <c r="O40" i="7"/>
  <c r="O56" i="7" s="1"/>
  <c r="D15" i="7"/>
  <c r="AN12" i="7"/>
  <c r="AN14" i="7" s="1"/>
  <c r="AH12" i="7"/>
  <c r="AH14" i="7" s="1"/>
  <c r="AB12" i="7"/>
  <c r="AB14" i="7" s="1"/>
  <c r="V12" i="7"/>
  <c r="V14" i="7" s="1"/>
  <c r="R12" i="7"/>
  <c r="G12" i="7"/>
  <c r="E12" i="7"/>
  <c r="D12" i="7"/>
  <c r="O11" i="7" s="1"/>
  <c r="J80" i="1"/>
  <c r="G80" i="1"/>
  <c r="F80" i="1"/>
  <c r="E81" i="1"/>
  <c r="E80" i="1"/>
  <c r="J78" i="1"/>
  <c r="G78" i="1"/>
  <c r="F78" i="1"/>
  <c r="E79" i="1"/>
  <c r="E78" i="1"/>
  <c r="J76" i="1"/>
  <c r="G76" i="1"/>
  <c r="F76" i="1"/>
  <c r="E77" i="1"/>
  <c r="E76" i="1"/>
  <c r="J74" i="1"/>
  <c r="G74" i="1"/>
  <c r="F74" i="1"/>
  <c r="E75" i="1"/>
  <c r="E74" i="1"/>
  <c r="J72" i="1"/>
  <c r="G72" i="1"/>
  <c r="F72" i="1"/>
  <c r="E73" i="1"/>
  <c r="E72" i="1"/>
  <c r="AM41" i="6"/>
  <c r="U41" i="6"/>
  <c r="G41" i="6"/>
  <c r="AM40" i="6"/>
  <c r="U40" i="6"/>
  <c r="G40" i="6"/>
  <c r="J40" i="6" s="1"/>
  <c r="AM39" i="6"/>
  <c r="U39" i="6"/>
  <c r="G39" i="6"/>
  <c r="H39" i="6" s="1"/>
  <c r="U38" i="6"/>
  <c r="G38" i="6"/>
  <c r="L17" i="6"/>
  <c r="I17" i="6"/>
  <c r="F17" i="6"/>
  <c r="E17" i="6"/>
  <c r="D17" i="6"/>
  <c r="L16" i="6"/>
  <c r="I16" i="6"/>
  <c r="F16" i="6"/>
  <c r="E16" i="6"/>
  <c r="D16" i="6"/>
  <c r="AM15" i="6"/>
  <c r="L15" i="6"/>
  <c r="G15" i="6"/>
  <c r="D15" i="6"/>
  <c r="L14" i="6"/>
  <c r="I14" i="6"/>
  <c r="F14" i="6"/>
  <c r="E14" i="6"/>
  <c r="D14" i="13" s="1"/>
  <c r="D14" i="6"/>
  <c r="AJ12" i="6"/>
  <c r="AG12" i="6"/>
  <c r="AD12" i="6"/>
  <c r="AA12" i="6"/>
  <c r="X12" i="6"/>
  <c r="I12" i="6"/>
  <c r="F12" i="6"/>
  <c r="D12" i="6"/>
  <c r="U11" i="6" s="1"/>
  <c r="E3" i="6"/>
  <c r="B7" i="6" s="1"/>
  <c r="J44" i="1"/>
  <c r="E45" i="30" s="1"/>
  <c r="H44" i="1"/>
  <c r="G44" i="1"/>
  <c r="F44" i="1"/>
  <c r="E45" i="1"/>
  <c r="E44" i="1"/>
  <c r="J42" i="1"/>
  <c r="E43" i="30" s="1"/>
  <c r="H42" i="1"/>
  <c r="H32" i="1" s="1"/>
  <c r="G42" i="1"/>
  <c r="F42" i="1"/>
  <c r="E43" i="1"/>
  <c r="E42" i="1"/>
  <c r="J40" i="1"/>
  <c r="E41" i="30" s="1"/>
  <c r="G40" i="1"/>
  <c r="F40" i="1"/>
  <c r="E41" i="1"/>
  <c r="E40" i="1"/>
  <c r="J38" i="1"/>
  <c r="E39" i="30" s="1"/>
  <c r="G38" i="1"/>
  <c r="F38" i="1"/>
  <c r="E39" i="1"/>
  <c r="E38" i="1"/>
  <c r="J36" i="1"/>
  <c r="E37" i="30" s="1"/>
  <c r="G36" i="1"/>
  <c r="F36" i="1"/>
  <c r="E37" i="1"/>
  <c r="E36" i="1"/>
  <c r="J34" i="1"/>
  <c r="E35" i="30" s="1"/>
  <c r="G34" i="1"/>
  <c r="F34" i="1"/>
  <c r="E35" i="1"/>
  <c r="E34" i="1"/>
  <c r="U38" i="5"/>
  <c r="G38" i="5"/>
  <c r="D60" i="18"/>
  <c r="R20" i="5"/>
  <c r="L20" i="5"/>
  <c r="I20" i="5"/>
  <c r="F20" i="5"/>
  <c r="E20" i="5"/>
  <c r="D20" i="5"/>
  <c r="I19" i="5"/>
  <c r="F19" i="5"/>
  <c r="G19" i="5" s="1"/>
  <c r="L14" i="5"/>
  <c r="I14" i="5"/>
  <c r="F14" i="5"/>
  <c r="E14" i="5"/>
  <c r="AR12" i="5"/>
  <c r="AM12" i="5"/>
  <c r="AH12" i="5"/>
  <c r="AC12" i="5"/>
  <c r="X12" i="5"/>
  <c r="I12" i="5"/>
  <c r="F12" i="5"/>
  <c r="D12" i="5"/>
  <c r="U11" i="5" s="1"/>
  <c r="J24" i="30"/>
  <c r="I24" i="30"/>
  <c r="H24" i="30"/>
  <c r="G24" i="30"/>
  <c r="F24" i="30"/>
  <c r="H24" i="1"/>
  <c r="G24" i="1"/>
  <c r="F24" i="1"/>
  <c r="E24" i="1"/>
  <c r="AM156" i="4"/>
  <c r="G156" i="4"/>
  <c r="J156" i="4" s="1"/>
  <c r="K156" i="4" s="1"/>
  <c r="AM155" i="4"/>
  <c r="G155" i="4"/>
  <c r="H155" i="4" s="1"/>
  <c r="AM154" i="4"/>
  <c r="G154" i="4"/>
  <c r="J154" i="4" s="1"/>
  <c r="AM153" i="4"/>
  <c r="G153" i="4"/>
  <c r="J26" i="30"/>
  <c r="I26" i="30"/>
  <c r="H26" i="30"/>
  <c r="G26" i="30"/>
  <c r="F26" i="30"/>
  <c r="H26" i="1"/>
  <c r="G26" i="1"/>
  <c r="F26" i="1"/>
  <c r="E27" i="1"/>
  <c r="E26" i="1"/>
  <c r="J22" i="30"/>
  <c r="I22" i="30"/>
  <c r="H22" i="30"/>
  <c r="G22" i="30"/>
  <c r="F22" i="30"/>
  <c r="H22" i="1"/>
  <c r="G22" i="1"/>
  <c r="F22" i="1"/>
  <c r="E22" i="1"/>
  <c r="AM133" i="4"/>
  <c r="G133" i="4"/>
  <c r="AM132" i="4"/>
  <c r="G132" i="4"/>
  <c r="J132" i="4" s="1"/>
  <c r="AM131" i="4"/>
  <c r="G131" i="4"/>
  <c r="AM130" i="4"/>
  <c r="G130" i="4"/>
  <c r="J20" i="30"/>
  <c r="I20" i="30"/>
  <c r="H20" i="30"/>
  <c r="G20" i="30"/>
  <c r="F20" i="30"/>
  <c r="H20" i="1"/>
  <c r="G20" i="1"/>
  <c r="F20" i="1"/>
  <c r="E20" i="1"/>
  <c r="AM108" i="4"/>
  <c r="J108" i="4"/>
  <c r="AM107" i="4"/>
  <c r="G107" i="4"/>
  <c r="J18" i="30"/>
  <c r="I18" i="30"/>
  <c r="H18" i="30"/>
  <c r="G18" i="30"/>
  <c r="H18" i="1"/>
  <c r="G18" i="1"/>
  <c r="F18" i="1"/>
  <c r="E18" i="1"/>
  <c r="G92" i="4"/>
  <c r="J92" i="4" s="1"/>
  <c r="K92" i="4" s="1"/>
  <c r="AM86" i="4"/>
  <c r="G86" i="4"/>
  <c r="H86" i="4" s="1"/>
  <c r="AM85" i="4"/>
  <c r="G85" i="4"/>
  <c r="J85" i="4" s="1"/>
  <c r="K85" i="4" s="1"/>
  <c r="G84" i="4"/>
  <c r="J16" i="30"/>
  <c r="I16" i="30"/>
  <c r="H16" i="30"/>
  <c r="G16" i="30"/>
  <c r="H16" i="1"/>
  <c r="G16" i="1"/>
  <c r="F16" i="1"/>
  <c r="E16" i="1"/>
  <c r="G69" i="4"/>
  <c r="J69" i="4" s="1"/>
  <c r="K69" i="4" s="1"/>
  <c r="AM63" i="4"/>
  <c r="G63" i="4"/>
  <c r="H63" i="4" s="1"/>
  <c r="AM62" i="4"/>
  <c r="G62" i="4"/>
  <c r="H62" i="4" s="1"/>
  <c r="G61" i="4"/>
  <c r="F14" i="30"/>
  <c r="H14" i="1"/>
  <c r="G14" i="1"/>
  <c r="F14" i="1"/>
  <c r="E14" i="1"/>
  <c r="G46" i="4"/>
  <c r="G40" i="4"/>
  <c r="J40" i="4" s="1"/>
  <c r="K40" i="4" s="1"/>
  <c r="G39" i="4"/>
  <c r="G38" i="4"/>
  <c r="J12" i="30"/>
  <c r="I12" i="30"/>
  <c r="H12" i="30"/>
  <c r="G12" i="30"/>
  <c r="H12" i="1"/>
  <c r="G12" i="1"/>
  <c r="F12" i="1"/>
  <c r="E12" i="1"/>
  <c r="AM22" i="4"/>
  <c r="G22" i="4"/>
  <c r="J22" i="4" s="1"/>
  <c r="AM16" i="4"/>
  <c r="G16" i="4"/>
  <c r="J16" i="4" s="1"/>
  <c r="K16" i="4" s="1"/>
  <c r="AM15" i="4"/>
  <c r="G15" i="4"/>
  <c r="H15" i="4" s="1"/>
  <c r="AM14" i="4"/>
  <c r="G14" i="4"/>
  <c r="AJ12" i="4"/>
  <c r="AG12" i="4"/>
  <c r="AD12" i="4"/>
  <c r="AA12" i="4"/>
  <c r="X12" i="4"/>
  <c r="L12" i="4"/>
  <c r="I12" i="4"/>
  <c r="F12" i="4"/>
  <c r="D12" i="4"/>
  <c r="U11" i="4" s="1"/>
  <c r="N161" i="7" l="1"/>
  <c r="P161" i="7"/>
  <c r="O161" i="7"/>
  <c r="M16" i="7"/>
  <c r="D21" i="3"/>
  <c r="F30" i="5"/>
  <c r="G184" i="22"/>
  <c r="G186" i="22" s="1"/>
  <c r="G20" i="5"/>
  <c r="I33" i="30"/>
  <c r="G29" i="2" s="1"/>
  <c r="H33" i="30"/>
  <c r="F29" i="2" s="1"/>
  <c r="G33" i="30"/>
  <c r="E29" i="2" s="1"/>
  <c r="AA279" i="22"/>
  <c r="Z280" i="22"/>
  <c r="Z281" i="22" s="1"/>
  <c r="Z283" i="22" s="1"/>
  <c r="AR19" i="7"/>
  <c r="AU92" i="7"/>
  <c r="AS92" i="7"/>
  <c r="AT92" i="7"/>
  <c r="AT104" i="7" s="1"/>
  <c r="Y284" i="22"/>
  <c r="Y292" i="22"/>
  <c r="Y294" i="22" s="1"/>
  <c r="I60" i="18"/>
  <c r="U176" i="7"/>
  <c r="W160" i="7"/>
  <c r="I122" i="18"/>
  <c r="H38" i="18"/>
  <c r="Y248" i="22"/>
  <c r="Y256" i="22"/>
  <c r="Y258" i="22" s="1"/>
  <c r="U152" i="7"/>
  <c r="W136" i="7"/>
  <c r="G220" i="22"/>
  <c r="G222" i="22" s="1"/>
  <c r="G212" i="22"/>
  <c r="AR20" i="7"/>
  <c r="AT20" i="7" s="1"/>
  <c r="AU45" i="7"/>
  <c r="AS45" i="7"/>
  <c r="AT45" i="7"/>
  <c r="AA243" i="22"/>
  <c r="Z244" i="22"/>
  <c r="Z245" i="22" s="1"/>
  <c r="Z247" i="22" s="1"/>
  <c r="U136" i="7"/>
  <c r="J38" i="5"/>
  <c r="M38" i="5" s="1"/>
  <c r="S38" i="5" s="1"/>
  <c r="H169" i="4"/>
  <c r="H130" i="4"/>
  <c r="H146" i="4"/>
  <c r="H84" i="4"/>
  <c r="H100" i="4"/>
  <c r="H61" i="4"/>
  <c r="H77" i="4"/>
  <c r="J39" i="4"/>
  <c r="G39" i="13" s="1"/>
  <c r="H30" i="4"/>
  <c r="I104" i="30"/>
  <c r="J104" i="30"/>
  <c r="E88" i="1"/>
  <c r="E87" i="1" s="1"/>
  <c r="D19" i="7"/>
  <c r="F88" i="1"/>
  <c r="F87" i="1" s="1"/>
  <c r="E19" i="7"/>
  <c r="H104" i="30"/>
  <c r="G88" i="1"/>
  <c r="G87" i="1" s="1"/>
  <c r="G19" i="7"/>
  <c r="G104" i="30"/>
  <c r="H87" i="1"/>
  <c r="I19" i="7"/>
  <c r="I31" i="7" s="1"/>
  <c r="J88" i="1"/>
  <c r="J87" i="1" s="1"/>
  <c r="M19" i="7"/>
  <c r="K134" i="13" s="1"/>
  <c r="AO159" i="7"/>
  <c r="AO135" i="7"/>
  <c r="AI135" i="7"/>
  <c r="AC135" i="7"/>
  <c r="AC159" i="7"/>
  <c r="AO111" i="7"/>
  <c r="AI111" i="7"/>
  <c r="AC111" i="7"/>
  <c r="AO87" i="7"/>
  <c r="AI87" i="7"/>
  <c r="AC87" i="7"/>
  <c r="AO39" i="7"/>
  <c r="AO63" i="7"/>
  <c r="AI63" i="7"/>
  <c r="AC63" i="7"/>
  <c r="AC39" i="7"/>
  <c r="AI39" i="7"/>
  <c r="AI159" i="7"/>
  <c r="F28" i="18"/>
  <c r="G28" i="18"/>
  <c r="H28" i="18"/>
  <c r="E28" i="18"/>
  <c r="F79" i="1"/>
  <c r="G79" i="1" s="1"/>
  <c r="J79" i="1" s="1"/>
  <c r="E92" i="30" s="1"/>
  <c r="I76" i="18"/>
  <c r="E70" i="1"/>
  <c r="D19" i="6"/>
  <c r="F70" i="1"/>
  <c r="F19" i="6"/>
  <c r="E71" i="1"/>
  <c r="E19" i="6"/>
  <c r="G70" i="1"/>
  <c r="I19" i="6"/>
  <c r="L19" i="6"/>
  <c r="J70" i="1"/>
  <c r="F75" i="1"/>
  <c r="G75" i="1" s="1"/>
  <c r="J75" i="1" s="1"/>
  <c r="E90" i="30" s="1"/>
  <c r="F77" i="1"/>
  <c r="G77" i="1" s="1"/>
  <c r="J77" i="1" s="1"/>
  <c r="E91" i="30" s="1"/>
  <c r="F78" i="18"/>
  <c r="F77" i="18"/>
  <c r="G77" i="18"/>
  <c r="F73" i="1"/>
  <c r="G73" i="1" s="1"/>
  <c r="J73" i="1" s="1"/>
  <c r="E89" i="30" s="1"/>
  <c r="F81" i="1"/>
  <c r="G81" i="1" s="1"/>
  <c r="J81" i="1" s="1"/>
  <c r="G78" i="18"/>
  <c r="L30" i="5"/>
  <c r="R30" i="5"/>
  <c r="I30" i="5"/>
  <c r="H17" i="5"/>
  <c r="J17" i="5"/>
  <c r="AH30" i="5"/>
  <c r="D30" i="5"/>
  <c r="D153" i="13"/>
  <c r="E30" i="5"/>
  <c r="AM30" i="5"/>
  <c r="G70" i="18" s="1"/>
  <c r="AW19" i="5"/>
  <c r="AC30" i="5"/>
  <c r="AW20" i="5"/>
  <c r="AR30" i="5"/>
  <c r="K43" i="30"/>
  <c r="E32" i="1"/>
  <c r="E33" i="1"/>
  <c r="H96" i="18"/>
  <c r="H54" i="18"/>
  <c r="F96" i="18"/>
  <c r="F54" i="18"/>
  <c r="E96" i="18"/>
  <c r="E54" i="18"/>
  <c r="K45" i="30"/>
  <c r="I55" i="18"/>
  <c r="G96" i="18"/>
  <c r="G54" i="18"/>
  <c r="H123" i="4"/>
  <c r="K12" i="30"/>
  <c r="K20" i="30"/>
  <c r="K26" i="30"/>
  <c r="F27" i="1"/>
  <c r="G27" i="1" s="1"/>
  <c r="H27" i="1" s="1"/>
  <c r="H14" i="30"/>
  <c r="I14" i="30"/>
  <c r="K22" i="30"/>
  <c r="F23" i="30"/>
  <c r="G23" i="30" s="1"/>
  <c r="H23" i="30" s="1"/>
  <c r="I23" i="30" s="1"/>
  <c r="J23" i="30" s="1"/>
  <c r="K24" i="30"/>
  <c r="F25" i="30"/>
  <c r="G25" i="30" s="1"/>
  <c r="H25" i="30" s="1"/>
  <c r="I25" i="30" s="1"/>
  <c r="J25" i="30" s="1"/>
  <c r="G14" i="30"/>
  <c r="J14" i="30"/>
  <c r="E13" i="1"/>
  <c r="F13" i="1" s="1"/>
  <c r="G13" i="1" s="1"/>
  <c r="H13" i="1" s="1"/>
  <c r="J13" i="1" s="1"/>
  <c r="F132" i="30"/>
  <c r="F127" i="30"/>
  <c r="F64" i="30"/>
  <c r="G64" i="30" s="1"/>
  <c r="H64" i="30" s="1"/>
  <c r="I64" i="30" s="1"/>
  <c r="J64" i="30" s="1"/>
  <c r="K63" i="30"/>
  <c r="F62" i="30"/>
  <c r="G62" i="30" s="1"/>
  <c r="H62" i="30" s="1"/>
  <c r="I62" i="30" s="1"/>
  <c r="J62" i="30" s="1"/>
  <c r="K61" i="30"/>
  <c r="J32" i="1"/>
  <c r="E33" i="30" s="1"/>
  <c r="E25" i="1"/>
  <c r="E23" i="1"/>
  <c r="F23" i="1" s="1"/>
  <c r="E21" i="1"/>
  <c r="F21" i="1" s="1"/>
  <c r="E19" i="1"/>
  <c r="F19" i="1" s="1"/>
  <c r="G19" i="1" s="1"/>
  <c r="H19" i="1" s="1"/>
  <c r="J19" i="1" s="1"/>
  <c r="E17" i="1"/>
  <c r="F17" i="1" s="1"/>
  <c r="G17" i="1" s="1"/>
  <c r="H17" i="1" s="1"/>
  <c r="J17" i="1" s="1"/>
  <c r="E15" i="1"/>
  <c r="F15" i="1" s="1"/>
  <c r="G15" i="1" s="1"/>
  <c r="H15" i="1" s="1"/>
  <c r="J15" i="1" s="1"/>
  <c r="U169" i="4"/>
  <c r="U54" i="4"/>
  <c r="U77" i="4"/>
  <c r="U100" i="4"/>
  <c r="U123" i="4"/>
  <c r="U146" i="4"/>
  <c r="U192" i="4"/>
  <c r="E75" i="18"/>
  <c r="F75" i="18"/>
  <c r="G75" i="18"/>
  <c r="H75" i="18"/>
  <c r="AM12" i="6"/>
  <c r="AM12" i="4"/>
  <c r="AW12" i="5"/>
  <c r="AI14" i="7"/>
  <c r="AC14" i="7"/>
  <c r="AO14" i="7"/>
  <c r="R13" i="7"/>
  <c r="W14" i="7"/>
  <c r="AT12" i="7"/>
  <c r="J56" i="7"/>
  <c r="H56" i="7"/>
  <c r="F15" i="7"/>
  <c r="P15" i="7"/>
  <c r="D130" i="13"/>
  <c r="F56" i="7"/>
  <c r="P56" i="7"/>
  <c r="N56" i="7"/>
  <c r="D16" i="13"/>
  <c r="M132" i="4"/>
  <c r="K132" i="4"/>
  <c r="M22" i="4"/>
  <c r="S22" i="4" s="1"/>
  <c r="V22" i="4" s="1"/>
  <c r="K22" i="4"/>
  <c r="M154" i="4"/>
  <c r="S154" i="4" s="1"/>
  <c r="K154" i="4"/>
  <c r="M108" i="4"/>
  <c r="K108" i="4"/>
  <c r="D84" i="13"/>
  <c r="D156" i="13"/>
  <c r="D87" i="13"/>
  <c r="J61" i="4"/>
  <c r="J155" i="4"/>
  <c r="K155" i="4" s="1"/>
  <c r="H132" i="4"/>
  <c r="H153" i="4"/>
  <c r="H154" i="4"/>
  <c r="J153" i="4"/>
  <c r="J86" i="4"/>
  <c r="K86" i="4" s="1"/>
  <c r="H108" i="4"/>
  <c r="M85" i="4"/>
  <c r="S85" i="4" s="1"/>
  <c r="M156" i="4"/>
  <c r="S156" i="4" s="1"/>
  <c r="M40" i="4"/>
  <c r="G132" i="13"/>
  <c r="G63" i="13"/>
  <c r="G40" i="13"/>
  <c r="H92" i="4"/>
  <c r="M69" i="4"/>
  <c r="S69" i="4" s="1"/>
  <c r="J15" i="4"/>
  <c r="J38" i="4"/>
  <c r="K38" i="4" s="1"/>
  <c r="E38" i="13"/>
  <c r="F38" i="13" s="1"/>
  <c r="E61" i="13"/>
  <c r="F61" i="13" s="1"/>
  <c r="E130" i="13"/>
  <c r="H46" i="4"/>
  <c r="E64" i="13"/>
  <c r="F64" i="13" s="1"/>
  <c r="E41" i="13"/>
  <c r="F41" i="13" s="1"/>
  <c r="E133" i="13"/>
  <c r="F133" i="13" s="1"/>
  <c r="J46" i="4"/>
  <c r="K46" i="4" s="1"/>
  <c r="H107" i="4"/>
  <c r="H39" i="4"/>
  <c r="E62" i="13"/>
  <c r="F62" i="13" s="1"/>
  <c r="E39" i="13"/>
  <c r="F39" i="13" s="1"/>
  <c r="E131" i="13"/>
  <c r="F131" i="13" s="1"/>
  <c r="H156" i="4"/>
  <c r="H22" i="4"/>
  <c r="H40" i="4"/>
  <c r="E40" i="13"/>
  <c r="F40" i="13" s="1"/>
  <c r="E132" i="13"/>
  <c r="F132" i="13" s="1"/>
  <c r="E63" i="13"/>
  <c r="F63" i="13" s="1"/>
  <c r="D54" i="13"/>
  <c r="D77" i="13"/>
  <c r="U16" i="6"/>
  <c r="U15" i="6"/>
  <c r="M40" i="6"/>
  <c r="K40" i="6"/>
  <c r="AM16" i="6"/>
  <c r="G16" i="6"/>
  <c r="J39" i="6"/>
  <c r="M39" i="6" s="1"/>
  <c r="H40" i="6"/>
  <c r="U17" i="6"/>
  <c r="H54" i="6"/>
  <c r="G17" i="6"/>
  <c r="E17" i="13" s="1"/>
  <c r="D17" i="13"/>
  <c r="AM17" i="6"/>
  <c r="J15" i="6"/>
  <c r="G15" i="13" s="1"/>
  <c r="E15" i="13"/>
  <c r="F15" i="13" s="1"/>
  <c r="H15" i="6"/>
  <c r="H20" i="5"/>
  <c r="F35" i="1"/>
  <c r="T42" i="5"/>
  <c r="E85" i="13"/>
  <c r="F85" i="13" s="1"/>
  <c r="U19" i="5"/>
  <c r="O15" i="7"/>
  <c r="O16" i="7"/>
  <c r="J41" i="6"/>
  <c r="H41" i="6"/>
  <c r="H38" i="6"/>
  <c r="J38" i="6"/>
  <c r="G14" i="6"/>
  <c r="E14" i="13" s="1"/>
  <c r="F14" i="13" s="1"/>
  <c r="U14" i="6"/>
  <c r="T40" i="5"/>
  <c r="U54" i="5"/>
  <c r="G14" i="5"/>
  <c r="E84" i="13" s="1"/>
  <c r="U14" i="5"/>
  <c r="U20" i="5"/>
  <c r="H38" i="5"/>
  <c r="M16" i="4"/>
  <c r="S16" i="4" s="1"/>
  <c r="V16" i="4" s="1"/>
  <c r="J63" i="4"/>
  <c r="K63" i="4" s="1"/>
  <c r="J84" i="4"/>
  <c r="H14" i="4"/>
  <c r="H16" i="4"/>
  <c r="H69" i="4"/>
  <c r="M92" i="4"/>
  <c r="S92" i="4" s="1"/>
  <c r="J14" i="4"/>
  <c r="J62" i="4"/>
  <c r="K62" i="4" s="1"/>
  <c r="H85" i="4"/>
  <c r="H38" i="4"/>
  <c r="H192" i="4"/>
  <c r="J131" i="4"/>
  <c r="K131" i="4" s="1"/>
  <c r="H131" i="4"/>
  <c r="J133" i="4"/>
  <c r="K133" i="4" s="1"/>
  <c r="H133" i="4"/>
  <c r="J107" i="4"/>
  <c r="J130" i="4"/>
  <c r="P16" i="7" l="1"/>
  <c r="N16" i="7"/>
  <c r="P162" i="7"/>
  <c r="M17" i="7"/>
  <c r="O162" i="7"/>
  <c r="N162" i="7"/>
  <c r="U162" i="7"/>
  <c r="K38" i="5"/>
  <c r="H171" i="22"/>
  <c r="I171" i="22" s="1"/>
  <c r="J171" i="22" s="1"/>
  <c r="K171" i="22" s="1"/>
  <c r="L171" i="22" s="1"/>
  <c r="M171" i="22" s="1"/>
  <c r="N171" i="22" s="1"/>
  <c r="O171" i="22" s="1"/>
  <c r="P171" i="22" s="1"/>
  <c r="Q171" i="22" s="1"/>
  <c r="R171" i="22" s="1"/>
  <c r="S171" i="22" s="1"/>
  <c r="T171" i="22" s="1"/>
  <c r="U171" i="22" s="1"/>
  <c r="V171" i="22" s="1"/>
  <c r="W171" i="22" s="1"/>
  <c r="X171" i="22" s="1"/>
  <c r="Y171" i="22" s="1"/>
  <c r="Z171" i="22" s="1"/>
  <c r="AA171" i="22" s="1"/>
  <c r="AT19" i="7"/>
  <c r="Z248" i="22"/>
  <c r="Z256" i="22"/>
  <c r="Z258" i="22" s="1"/>
  <c r="Z292" i="22"/>
  <c r="Z294" i="22" s="1"/>
  <c r="Z284" i="22"/>
  <c r="AA244" i="22"/>
  <c r="AA245" i="22" s="1"/>
  <c r="AA247" i="22" s="1"/>
  <c r="H207" i="22"/>
  <c r="AU20" i="7"/>
  <c r="AS20" i="7"/>
  <c r="W135" i="13"/>
  <c r="AA280" i="22"/>
  <c r="AA281" i="22" s="1"/>
  <c r="AA283" i="22" s="1"/>
  <c r="E70" i="18"/>
  <c r="F70" i="18"/>
  <c r="K54" i="6"/>
  <c r="D30" i="13"/>
  <c r="D19" i="13"/>
  <c r="I134" i="13"/>
  <c r="L134" i="13" s="1"/>
  <c r="J31" i="7"/>
  <c r="G134" i="13"/>
  <c r="E134" i="13"/>
  <c r="D146" i="13"/>
  <c r="D134" i="13"/>
  <c r="D100" i="13"/>
  <c r="D160" i="13"/>
  <c r="D91" i="13"/>
  <c r="K153" i="4"/>
  <c r="K130" i="4"/>
  <c r="K146" i="4"/>
  <c r="K107" i="4"/>
  <c r="K123" i="4"/>
  <c r="K84" i="4"/>
  <c r="K61" i="4"/>
  <c r="M39" i="4"/>
  <c r="N39" i="4" s="1"/>
  <c r="G131" i="13"/>
  <c r="H131" i="13" s="1"/>
  <c r="K39" i="4"/>
  <c r="K54" i="4"/>
  <c r="K14" i="4"/>
  <c r="K30" i="4"/>
  <c r="H19" i="7"/>
  <c r="F19" i="7"/>
  <c r="P19" i="7"/>
  <c r="N19" i="7"/>
  <c r="J19" i="7"/>
  <c r="O19" i="7"/>
  <c r="O31" i="7" s="1"/>
  <c r="F71" i="1"/>
  <c r="G71" i="1" s="1"/>
  <c r="J71" i="1" s="1"/>
  <c r="G19" i="6"/>
  <c r="E19" i="13" s="1"/>
  <c r="F19" i="13" s="1"/>
  <c r="I77" i="18"/>
  <c r="I78" i="18"/>
  <c r="J68" i="1"/>
  <c r="U19" i="6"/>
  <c r="E93" i="30"/>
  <c r="M17" i="5"/>
  <c r="K17" i="5"/>
  <c r="E155" i="13"/>
  <c r="F155" i="13" s="1"/>
  <c r="H19" i="5"/>
  <c r="I57" i="18"/>
  <c r="G30" i="5"/>
  <c r="I97" i="18"/>
  <c r="G31" i="2"/>
  <c r="I98" i="18"/>
  <c r="I56" i="18"/>
  <c r="G112" i="18"/>
  <c r="J35" i="30"/>
  <c r="J33" i="30" s="1"/>
  <c r="E112" i="18"/>
  <c r="F112" i="18"/>
  <c r="E31" i="2"/>
  <c r="F31" i="2"/>
  <c r="F30" i="2"/>
  <c r="G30" i="2"/>
  <c r="E30" i="2"/>
  <c r="H30" i="2"/>
  <c r="K14" i="30"/>
  <c r="T69" i="4"/>
  <c r="Y16" i="4"/>
  <c r="Z16" i="4" s="1"/>
  <c r="T16" i="4"/>
  <c r="Y22" i="4"/>
  <c r="Z22" i="4" s="1"/>
  <c r="T22" i="4"/>
  <c r="F45" i="1"/>
  <c r="F43" i="1"/>
  <c r="F41" i="1"/>
  <c r="F39" i="1"/>
  <c r="F37" i="1"/>
  <c r="H54" i="5"/>
  <c r="T38" i="5"/>
  <c r="Y156" i="4"/>
  <c r="Z156" i="4" s="1"/>
  <c r="T156" i="4"/>
  <c r="Y154" i="4"/>
  <c r="Z154" i="4" s="1"/>
  <c r="T154" i="4"/>
  <c r="T92" i="4"/>
  <c r="Y85" i="4"/>
  <c r="Z85" i="4" s="1"/>
  <c r="T85" i="4"/>
  <c r="N40" i="6"/>
  <c r="U30" i="6"/>
  <c r="V156" i="4"/>
  <c r="N108" i="4"/>
  <c r="S108" i="4"/>
  <c r="S132" i="4"/>
  <c r="N132" i="4"/>
  <c r="N40" i="4"/>
  <c r="S40" i="4"/>
  <c r="V154" i="4"/>
  <c r="V85" i="4"/>
  <c r="V92" i="4"/>
  <c r="V69" i="4"/>
  <c r="F84" i="13"/>
  <c r="N156" i="4"/>
  <c r="N154" i="4"/>
  <c r="H40" i="13"/>
  <c r="H63" i="13"/>
  <c r="H132" i="13"/>
  <c r="F17" i="13"/>
  <c r="H15" i="13"/>
  <c r="F130" i="13"/>
  <c r="H39" i="13"/>
  <c r="N22" i="4"/>
  <c r="G62" i="13"/>
  <c r="H62" i="13" s="1"/>
  <c r="K15" i="4"/>
  <c r="J20" i="5"/>
  <c r="K20" i="5" s="1"/>
  <c r="E87" i="13"/>
  <c r="F87" i="13" s="1"/>
  <c r="E156" i="13"/>
  <c r="F156" i="13" s="1"/>
  <c r="D169" i="13"/>
  <c r="J19" i="5"/>
  <c r="E86" i="13"/>
  <c r="F86" i="13" s="1"/>
  <c r="E154" i="13"/>
  <c r="F154" i="13" s="1"/>
  <c r="E153" i="13"/>
  <c r="F153" i="13" s="1"/>
  <c r="M153" i="4"/>
  <c r="K192" i="4"/>
  <c r="M86" i="4"/>
  <c r="S86" i="4" s="1"/>
  <c r="N85" i="4"/>
  <c r="M61" i="4"/>
  <c r="K169" i="4"/>
  <c r="M155" i="4"/>
  <c r="S155" i="4" s="1"/>
  <c r="M46" i="4"/>
  <c r="S46" i="4" s="1"/>
  <c r="G64" i="13"/>
  <c r="H64" i="13" s="1"/>
  <c r="G41" i="13"/>
  <c r="H41" i="13" s="1"/>
  <c r="G133" i="13"/>
  <c r="H133" i="13" s="1"/>
  <c r="M38" i="4"/>
  <c r="S38" i="4" s="1"/>
  <c r="G38" i="13"/>
  <c r="H38" i="13" s="1"/>
  <c r="G61" i="13"/>
  <c r="H61" i="13" s="1"/>
  <c r="G130" i="13"/>
  <c r="H130" i="13" s="1"/>
  <c r="I132" i="13"/>
  <c r="J132" i="13" s="1"/>
  <c r="I63" i="13"/>
  <c r="J63" i="13" s="1"/>
  <c r="I40" i="13"/>
  <c r="J40" i="13" s="1"/>
  <c r="M15" i="4"/>
  <c r="N69" i="4"/>
  <c r="H54" i="4"/>
  <c r="E146" i="13"/>
  <c r="E54" i="13"/>
  <c r="F54" i="13" s="1"/>
  <c r="E77" i="13"/>
  <c r="F77" i="13" s="1"/>
  <c r="S40" i="6"/>
  <c r="J17" i="6"/>
  <c r="G17" i="13" s="1"/>
  <c r="H17" i="13" s="1"/>
  <c r="H17" i="6"/>
  <c r="K39" i="6"/>
  <c r="K15" i="6"/>
  <c r="E16" i="13"/>
  <c r="F16" i="13" s="1"/>
  <c r="J16" i="6"/>
  <c r="H16" i="6"/>
  <c r="M15" i="6"/>
  <c r="I15" i="13" s="1"/>
  <c r="J15" i="13" s="1"/>
  <c r="H45" i="1"/>
  <c r="U30" i="5"/>
  <c r="K38" i="6"/>
  <c r="M38" i="6"/>
  <c r="M41" i="6"/>
  <c r="K41" i="6"/>
  <c r="J14" i="6"/>
  <c r="G14" i="13" s="1"/>
  <c r="H14" i="13" s="1"/>
  <c r="H14" i="6"/>
  <c r="S39" i="6"/>
  <c r="N39" i="6"/>
  <c r="T43" i="5"/>
  <c r="N38" i="5"/>
  <c r="J14" i="5"/>
  <c r="H14" i="5"/>
  <c r="N16" i="4"/>
  <c r="K100" i="4"/>
  <c r="M84" i="4"/>
  <c r="M130" i="4"/>
  <c r="M107" i="4"/>
  <c r="M62" i="4"/>
  <c r="S62" i="4" s="1"/>
  <c r="K77" i="4"/>
  <c r="M133" i="4"/>
  <c r="S133" i="4" s="1"/>
  <c r="M14" i="4"/>
  <c r="M63" i="4"/>
  <c r="S63" i="4" s="1"/>
  <c r="N92" i="4"/>
  <c r="M131" i="4"/>
  <c r="S131" i="4" s="1"/>
  <c r="F31" i="7" l="1"/>
  <c r="P17" i="7"/>
  <c r="N17" i="7"/>
  <c r="O17" i="7"/>
  <c r="N163" i="7"/>
  <c r="P163" i="7"/>
  <c r="O163" i="7"/>
  <c r="M18" i="7"/>
  <c r="U163" i="7"/>
  <c r="H134" i="13"/>
  <c r="J134" i="13"/>
  <c r="F146" i="13"/>
  <c r="H172" i="22"/>
  <c r="H173" i="22" s="1"/>
  <c r="H175" i="22" s="1"/>
  <c r="H176" i="22" s="1"/>
  <c r="I207" i="22"/>
  <c r="H208" i="22"/>
  <c r="H209" i="22" s="1"/>
  <c r="H211" i="22" s="1"/>
  <c r="AA292" i="22"/>
  <c r="AA294" i="22" s="1"/>
  <c r="AA284" i="22"/>
  <c r="Y135" i="13"/>
  <c r="X135" i="13"/>
  <c r="AA256" i="22"/>
  <c r="AA258" i="22" s="1"/>
  <c r="AA248" i="22"/>
  <c r="I172" i="22"/>
  <c r="I173" i="22" s="1"/>
  <c r="I175" i="22" s="1"/>
  <c r="D288" i="22"/>
  <c r="D19" i="24" s="1"/>
  <c r="D252" i="22"/>
  <c r="D18" i="24" s="1"/>
  <c r="H31" i="7"/>
  <c r="F134" i="13"/>
  <c r="M134" i="13"/>
  <c r="E169" i="13"/>
  <c r="F169" i="13" s="1"/>
  <c r="E160" i="13"/>
  <c r="F160" i="13" s="1"/>
  <c r="E91" i="13"/>
  <c r="F91" i="13" s="1"/>
  <c r="S130" i="4"/>
  <c r="V130" i="4" s="1"/>
  <c r="S107" i="4"/>
  <c r="V107" i="4" s="1"/>
  <c r="S84" i="4"/>
  <c r="V84" i="4" s="1"/>
  <c r="S61" i="4"/>
  <c r="V61" i="4" s="1"/>
  <c r="I39" i="13"/>
  <c r="J39" i="13" s="1"/>
  <c r="I131" i="13"/>
  <c r="J131" i="13" s="1"/>
  <c r="S39" i="4"/>
  <c r="S14" i="4"/>
  <c r="K61" i="13" s="1"/>
  <c r="J19" i="6"/>
  <c r="H30" i="6"/>
  <c r="E88" i="30"/>
  <c r="J69" i="1"/>
  <c r="H10" i="2" s="1"/>
  <c r="H19" i="6"/>
  <c r="F93" i="30"/>
  <c r="J30" i="5"/>
  <c r="G169" i="13" s="1"/>
  <c r="N17" i="5"/>
  <c r="S17" i="5"/>
  <c r="K19" i="5"/>
  <c r="M19" i="5"/>
  <c r="N19" i="5" s="1"/>
  <c r="H37" i="1"/>
  <c r="H70" i="18"/>
  <c r="H112" i="18"/>
  <c r="Y38" i="4"/>
  <c r="Z38" i="4" s="1"/>
  <c r="K130" i="13"/>
  <c r="K38" i="13"/>
  <c r="M38" i="13" s="1"/>
  <c r="K132" i="13"/>
  <c r="K40" i="13"/>
  <c r="K63" i="13"/>
  <c r="Y62" i="4"/>
  <c r="Z62" i="4" s="1"/>
  <c r="T62" i="4"/>
  <c r="Y63" i="4"/>
  <c r="Z63" i="4" s="1"/>
  <c r="T63" i="4"/>
  <c r="K64" i="13"/>
  <c r="K41" i="13"/>
  <c r="K133" i="13"/>
  <c r="X66" i="7"/>
  <c r="AB85" i="4"/>
  <c r="AE85" i="4" s="1"/>
  <c r="F92" i="30"/>
  <c r="G45" i="1"/>
  <c r="G43" i="1"/>
  <c r="G41" i="1"/>
  <c r="G39" i="1"/>
  <c r="G37" i="1"/>
  <c r="K54" i="5"/>
  <c r="G35" i="1"/>
  <c r="Y155" i="4"/>
  <c r="Z155" i="4" s="1"/>
  <c r="T155" i="4"/>
  <c r="Y131" i="4"/>
  <c r="Z131" i="4" s="1"/>
  <c r="T131" i="4"/>
  <c r="Y132" i="4"/>
  <c r="T132" i="4"/>
  <c r="Y133" i="4"/>
  <c r="Z133" i="4" s="1"/>
  <c r="T133" i="4"/>
  <c r="Y108" i="4"/>
  <c r="Z108" i="4" s="1"/>
  <c r="T108" i="4"/>
  <c r="Y86" i="4"/>
  <c r="Z86" i="4" s="1"/>
  <c r="T86" i="4"/>
  <c r="Y40" i="4"/>
  <c r="T40" i="4"/>
  <c r="Y46" i="4"/>
  <c r="T46" i="4"/>
  <c r="T38" i="4"/>
  <c r="Y40" i="6"/>
  <c r="R42" i="7" s="1"/>
  <c r="V131" i="4"/>
  <c r="I62" i="13"/>
  <c r="J62" i="13" s="1"/>
  <c r="S15" i="4"/>
  <c r="V62" i="4"/>
  <c r="V108" i="4"/>
  <c r="V38" i="4"/>
  <c r="N153" i="4"/>
  <c r="S153" i="4"/>
  <c r="V40" i="4"/>
  <c r="V86" i="4"/>
  <c r="V63" i="4"/>
  <c r="V46" i="4"/>
  <c r="V155" i="4"/>
  <c r="V133" i="4"/>
  <c r="V132" i="4"/>
  <c r="T44" i="5"/>
  <c r="T41" i="5"/>
  <c r="G84" i="13"/>
  <c r="H84" i="13" s="1"/>
  <c r="G87" i="13"/>
  <c r="H87" i="13" s="1"/>
  <c r="M20" i="5"/>
  <c r="G156" i="13"/>
  <c r="H156" i="13" s="1"/>
  <c r="N86" i="4"/>
  <c r="G153" i="13"/>
  <c r="H153" i="13" s="1"/>
  <c r="G85" i="13"/>
  <c r="H85" i="13" s="1"/>
  <c r="G154" i="13"/>
  <c r="H154" i="13" s="1"/>
  <c r="H30" i="5"/>
  <c r="E100" i="13"/>
  <c r="F100" i="13" s="1"/>
  <c r="G86" i="13"/>
  <c r="H86" i="13" s="1"/>
  <c r="G155" i="13"/>
  <c r="H155" i="13" s="1"/>
  <c r="G146" i="13"/>
  <c r="H146" i="13" s="1"/>
  <c r="G54" i="13"/>
  <c r="H54" i="13" s="1"/>
  <c r="N61" i="4"/>
  <c r="N155" i="4"/>
  <c r="I133" i="13"/>
  <c r="J133" i="13" s="1"/>
  <c r="I41" i="13"/>
  <c r="J41" i="13" s="1"/>
  <c r="I64" i="13"/>
  <c r="J64" i="13" s="1"/>
  <c r="N46" i="4"/>
  <c r="N15" i="4"/>
  <c r="I38" i="13"/>
  <c r="J38" i="13" s="1"/>
  <c r="I61" i="13"/>
  <c r="J61" i="13" s="1"/>
  <c r="I130" i="13"/>
  <c r="J130" i="13" s="1"/>
  <c r="N38" i="4"/>
  <c r="G77" i="13"/>
  <c r="H77" i="13" s="1"/>
  <c r="V40" i="6"/>
  <c r="T40" i="6"/>
  <c r="K17" i="6"/>
  <c r="M17" i="6"/>
  <c r="I17" i="13" s="1"/>
  <c r="J17" i="13" s="1"/>
  <c r="S15" i="6"/>
  <c r="K15" i="13" s="1"/>
  <c r="M16" i="6"/>
  <c r="G16" i="13"/>
  <c r="H16" i="13" s="1"/>
  <c r="K16" i="6"/>
  <c r="N15" i="6"/>
  <c r="AA18" i="5"/>
  <c r="V42" i="5"/>
  <c r="X90" i="7"/>
  <c r="V39" i="6"/>
  <c r="T39" i="6"/>
  <c r="Y39" i="6"/>
  <c r="X161" i="7"/>
  <c r="X137" i="7"/>
  <c r="S38" i="6"/>
  <c r="N38" i="6"/>
  <c r="N54" i="6"/>
  <c r="S41" i="6"/>
  <c r="N41" i="6"/>
  <c r="K14" i="6"/>
  <c r="M14" i="6"/>
  <c r="I14" i="13" s="1"/>
  <c r="J14" i="13" s="1"/>
  <c r="V38" i="5"/>
  <c r="K14" i="5"/>
  <c r="M14" i="5"/>
  <c r="I84" i="13" s="1"/>
  <c r="AA16" i="5"/>
  <c r="V40" i="5"/>
  <c r="N130" i="4"/>
  <c r="AB154" i="4"/>
  <c r="AB22" i="4"/>
  <c r="N133" i="4"/>
  <c r="N131" i="4"/>
  <c r="N63" i="4"/>
  <c r="N14" i="4"/>
  <c r="N62" i="4"/>
  <c r="AB156" i="4"/>
  <c r="N107" i="4"/>
  <c r="N84" i="4"/>
  <c r="N31" i="7" l="1"/>
  <c r="P31" i="7"/>
  <c r="P18" i="7"/>
  <c r="N18" i="7"/>
  <c r="O18" i="7"/>
  <c r="H169" i="13"/>
  <c r="H184" i="22"/>
  <c r="H186" i="22" s="1"/>
  <c r="Y15" i="6"/>
  <c r="O15" i="13" s="1"/>
  <c r="R41" i="7"/>
  <c r="W42" i="7"/>
  <c r="W17" i="7" s="1"/>
  <c r="R17" i="7"/>
  <c r="T42" i="7"/>
  <c r="O40" i="13"/>
  <c r="P40" i="13" s="1"/>
  <c r="O63" i="13"/>
  <c r="P63" i="13" s="1"/>
  <c r="O69" i="13"/>
  <c r="P69" i="13" s="1"/>
  <c r="O46" i="13"/>
  <c r="P46" i="13" s="1"/>
  <c r="D250" i="22"/>
  <c r="C18" i="24" s="1"/>
  <c r="D286" i="22"/>
  <c r="C19" i="24" s="1"/>
  <c r="H220" i="22"/>
  <c r="H222" i="22" s="1"/>
  <c r="H212" i="22"/>
  <c r="J172" i="22"/>
  <c r="J173" i="22" s="1"/>
  <c r="J175" i="22" s="1"/>
  <c r="J207" i="22"/>
  <c r="I208" i="22"/>
  <c r="I209" i="22" s="1"/>
  <c r="I211" i="22" s="1"/>
  <c r="I176" i="22"/>
  <c r="I184" i="22"/>
  <c r="O157" i="13"/>
  <c r="P157" i="13" s="1"/>
  <c r="P88" i="13"/>
  <c r="X42" i="7"/>
  <c r="Y16" i="6"/>
  <c r="O16" i="13" s="1"/>
  <c r="AB16" i="5"/>
  <c r="O155" i="13"/>
  <c r="Z137" i="7"/>
  <c r="AA137" i="7" s="1"/>
  <c r="AC137" i="7"/>
  <c r="AD137" i="7" s="1"/>
  <c r="Z66" i="7"/>
  <c r="AA66" i="7" s="1"/>
  <c r="AC66" i="7"/>
  <c r="AD66" i="7" s="1"/>
  <c r="Z161" i="7"/>
  <c r="AA161" i="7" s="1"/>
  <c r="AC161" i="7"/>
  <c r="AD161" i="7" s="1"/>
  <c r="Z90" i="7"/>
  <c r="AA90" i="7" s="1"/>
  <c r="AC90" i="7"/>
  <c r="AD90" i="7" s="1"/>
  <c r="G30" i="13"/>
  <c r="G19" i="13"/>
  <c r="H19" i="13" s="1"/>
  <c r="AB18" i="5"/>
  <c r="G160" i="13"/>
  <c r="H160" i="13" s="1"/>
  <c r="G91" i="13"/>
  <c r="H91" i="13" s="1"/>
  <c r="Y130" i="4"/>
  <c r="T130" i="4"/>
  <c r="T107" i="4"/>
  <c r="Y107" i="4"/>
  <c r="T84" i="4"/>
  <c r="T61" i="4"/>
  <c r="K39" i="13"/>
  <c r="L39" i="13" s="1"/>
  <c r="Y39" i="4"/>
  <c r="V39" i="4"/>
  <c r="K131" i="13"/>
  <c r="M131" i="13" s="1"/>
  <c r="T39" i="4"/>
  <c r="V14" i="4"/>
  <c r="T14" i="4"/>
  <c r="Y14" i="4"/>
  <c r="Z14" i="4" s="1"/>
  <c r="K19" i="6"/>
  <c r="M19" i="6"/>
  <c r="E30" i="13"/>
  <c r="F30" i="13" s="1"/>
  <c r="I86" i="13"/>
  <c r="J86" i="13" s="1"/>
  <c r="I87" i="13"/>
  <c r="J87" i="13" s="1"/>
  <c r="N20" i="5"/>
  <c r="V17" i="5"/>
  <c r="T17" i="5"/>
  <c r="T39" i="5"/>
  <c r="J35" i="1"/>
  <c r="E36" i="30" s="1"/>
  <c r="M30" i="5"/>
  <c r="H29" i="2"/>
  <c r="H31" i="2"/>
  <c r="V15" i="4"/>
  <c r="K62" i="13"/>
  <c r="M62" i="13" s="1"/>
  <c r="AB38" i="4"/>
  <c r="AE38" i="4" s="1"/>
  <c r="AH38" i="4" s="1"/>
  <c r="AK38" i="4" s="1"/>
  <c r="X91" i="7"/>
  <c r="AC85" i="4"/>
  <c r="V44" i="5"/>
  <c r="Z46" i="4"/>
  <c r="AB46" i="4"/>
  <c r="Z40" i="4"/>
  <c r="AB40" i="4"/>
  <c r="Z40" i="6"/>
  <c r="AB40" i="6"/>
  <c r="Y15" i="4"/>
  <c r="Z15" i="4" s="1"/>
  <c r="T15" i="4"/>
  <c r="H43" i="1"/>
  <c r="H41" i="1"/>
  <c r="H39" i="1"/>
  <c r="N54" i="5"/>
  <c r="H35" i="1"/>
  <c r="Y153" i="4"/>
  <c r="T153" i="4"/>
  <c r="AB132" i="4"/>
  <c r="Z132" i="4"/>
  <c r="J84" i="13"/>
  <c r="V41" i="5"/>
  <c r="J41" i="1"/>
  <c r="E42" i="30" s="1"/>
  <c r="N192" i="4"/>
  <c r="S192" i="4"/>
  <c r="N146" i="4"/>
  <c r="S146" i="4"/>
  <c r="N77" i="4"/>
  <c r="S77" i="4"/>
  <c r="V153" i="4"/>
  <c r="N100" i="4"/>
  <c r="S100" i="4"/>
  <c r="N169" i="4"/>
  <c r="S169" i="4"/>
  <c r="N54" i="4"/>
  <c r="S54" i="4"/>
  <c r="S30" i="4"/>
  <c r="N123" i="4"/>
  <c r="S123" i="4"/>
  <c r="S20" i="5"/>
  <c r="I156" i="13"/>
  <c r="J156" i="13" s="1"/>
  <c r="AB108" i="4"/>
  <c r="AC108" i="4" s="1"/>
  <c r="I54" i="13"/>
  <c r="J54" i="13" s="1"/>
  <c r="I146" i="13"/>
  <c r="J146" i="13" s="1"/>
  <c r="M40" i="13"/>
  <c r="L40" i="13"/>
  <c r="M132" i="13"/>
  <c r="L132" i="13"/>
  <c r="M15" i="13"/>
  <c r="L15" i="13"/>
  <c r="M63" i="13"/>
  <c r="L63" i="13"/>
  <c r="S19" i="5"/>
  <c r="I155" i="13"/>
  <c r="J155" i="13" s="1"/>
  <c r="K30" i="5"/>
  <c r="G100" i="13"/>
  <c r="H100" i="13" s="1"/>
  <c r="I153" i="13"/>
  <c r="J153" i="13" s="1"/>
  <c r="I85" i="13"/>
  <c r="J85" i="13" s="1"/>
  <c r="I154" i="13"/>
  <c r="J154" i="13" s="1"/>
  <c r="I77" i="13"/>
  <c r="J77" i="13" s="1"/>
  <c r="S17" i="6"/>
  <c r="K17" i="13" s="1"/>
  <c r="V15" i="6"/>
  <c r="T15" i="6"/>
  <c r="N17" i="6"/>
  <c r="I16" i="13"/>
  <c r="J16" i="13" s="1"/>
  <c r="S16" i="6"/>
  <c r="N16" i="6"/>
  <c r="X162" i="7"/>
  <c r="X114" i="7"/>
  <c r="X138" i="7"/>
  <c r="X113" i="7"/>
  <c r="AF18" i="5"/>
  <c r="Q88" i="13" s="1"/>
  <c r="V38" i="6"/>
  <c r="T38" i="6"/>
  <c r="X163" i="7"/>
  <c r="Z163" i="7" s="1"/>
  <c r="Y41" i="6"/>
  <c r="V41" i="6"/>
  <c r="T41" i="6"/>
  <c r="X67" i="7"/>
  <c r="X65" i="7"/>
  <c r="X139" i="7"/>
  <c r="S14" i="6"/>
  <c r="K14" i="13" s="1"/>
  <c r="L14" i="13" s="1"/>
  <c r="N14" i="6"/>
  <c r="X115" i="7"/>
  <c r="X128" i="7" s="1"/>
  <c r="AB39" i="6"/>
  <c r="Z39" i="6"/>
  <c r="S14" i="5"/>
  <c r="K153" i="13" s="1"/>
  <c r="N14" i="5"/>
  <c r="V39" i="5"/>
  <c r="AF16" i="5"/>
  <c r="V43" i="5"/>
  <c r="J39" i="1"/>
  <c r="E40" i="30" s="1"/>
  <c r="AB16" i="4"/>
  <c r="AE154" i="4"/>
  <c r="AC154" i="4"/>
  <c r="AH85" i="4"/>
  <c r="AF85" i="4"/>
  <c r="AE22" i="4"/>
  <c r="AC22" i="4"/>
  <c r="AB86" i="4"/>
  <c r="AC156" i="4"/>
  <c r="AE156" i="4"/>
  <c r="K30" i="6" l="1"/>
  <c r="I186" i="22"/>
  <c r="P164" i="7"/>
  <c r="N164" i="7"/>
  <c r="O164" i="7"/>
  <c r="U164" i="7"/>
  <c r="D35" i="18"/>
  <c r="Y17" i="6"/>
  <c r="O17" i="13" s="1"/>
  <c r="R43" i="7"/>
  <c r="U42" i="7"/>
  <c r="T17" i="7"/>
  <c r="R16" i="7"/>
  <c r="W41" i="7"/>
  <c r="W16" i="7" s="1"/>
  <c r="T41" i="7"/>
  <c r="AE46" i="4"/>
  <c r="Q69" i="13"/>
  <c r="R69" i="13" s="1"/>
  <c r="Q46" i="13"/>
  <c r="R46" i="13" s="1"/>
  <c r="AE40" i="4"/>
  <c r="Q40" i="13"/>
  <c r="R40" i="13" s="1"/>
  <c r="Q63" i="13"/>
  <c r="R63" i="13" s="1"/>
  <c r="O62" i="13"/>
  <c r="P62" i="13" s="1"/>
  <c r="O39" i="13"/>
  <c r="P39" i="13" s="1"/>
  <c r="AF66" i="7"/>
  <c r="AG66" i="7" s="1"/>
  <c r="AI66" i="7"/>
  <c r="AJ66" i="7" s="1"/>
  <c r="Z65" i="7"/>
  <c r="AA65" i="7" s="1"/>
  <c r="AC65" i="7"/>
  <c r="AD65" i="7" s="1"/>
  <c r="X17" i="7"/>
  <c r="E35" i="18" s="1"/>
  <c r="AC42" i="7"/>
  <c r="Z91" i="7"/>
  <c r="AA91" i="7" s="1"/>
  <c r="AC91" i="7"/>
  <c r="AD91" i="7" s="1"/>
  <c r="I220" i="22"/>
  <c r="I222" i="22" s="1"/>
  <c r="I212" i="22"/>
  <c r="Z114" i="7"/>
  <c r="AA114" i="7" s="1"/>
  <c r="AC114" i="7"/>
  <c r="AD114" i="7" s="1"/>
  <c r="Z115" i="7"/>
  <c r="AC115" i="7"/>
  <c r="AC128" i="7" s="1"/>
  <c r="AF90" i="7"/>
  <c r="AG90" i="7" s="1"/>
  <c r="AI90" i="7"/>
  <c r="AJ90" i="7" s="1"/>
  <c r="Z42" i="7"/>
  <c r="AA42" i="7" s="1"/>
  <c r="K207" i="22"/>
  <c r="J208" i="22"/>
  <c r="J209" i="22" s="1"/>
  <c r="J211" i="22" s="1"/>
  <c r="K172" i="22"/>
  <c r="K173" i="22" s="1"/>
  <c r="K175" i="22" s="1"/>
  <c r="Z67" i="7"/>
  <c r="AA67" i="7" s="1"/>
  <c r="AC67" i="7"/>
  <c r="AD67" i="7" s="1"/>
  <c r="Z138" i="7"/>
  <c r="AA138" i="7" s="1"/>
  <c r="AC138" i="7"/>
  <c r="AD138" i="7" s="1"/>
  <c r="AG16" i="5"/>
  <c r="Q86" i="13"/>
  <c r="AF161" i="7"/>
  <c r="AG161" i="7" s="1"/>
  <c r="AI161" i="7"/>
  <c r="AJ161" i="7" s="1"/>
  <c r="Z139" i="7"/>
  <c r="AA139" i="7" s="1"/>
  <c r="AC139" i="7"/>
  <c r="AF137" i="7"/>
  <c r="AG137" i="7" s="1"/>
  <c r="AI137" i="7"/>
  <c r="AJ137" i="7" s="1"/>
  <c r="Z113" i="7"/>
  <c r="AA113" i="7" s="1"/>
  <c r="AC113" i="7"/>
  <c r="AD113" i="7" s="1"/>
  <c r="Z162" i="7"/>
  <c r="AA162" i="7" s="1"/>
  <c r="AC162" i="7"/>
  <c r="AD162" i="7" s="1"/>
  <c r="J176" i="22"/>
  <c r="J184" i="22"/>
  <c r="AC163" i="7"/>
  <c r="AD163" i="7" s="1"/>
  <c r="L131" i="13"/>
  <c r="X136" i="7"/>
  <c r="AC136" i="7" s="1"/>
  <c r="AD136" i="7" s="1"/>
  <c r="G125" i="30"/>
  <c r="G123" i="30" s="1"/>
  <c r="N30" i="6"/>
  <c r="I19" i="13"/>
  <c r="J19" i="13" s="1"/>
  <c r="I160" i="13"/>
  <c r="J160" i="13" s="1"/>
  <c r="I91" i="13"/>
  <c r="J91" i="13" s="1"/>
  <c r="AG18" i="5"/>
  <c r="R88" i="13"/>
  <c r="Q157" i="13"/>
  <c r="R157" i="13" s="1"/>
  <c r="M39" i="13"/>
  <c r="Z153" i="4"/>
  <c r="Z169" i="4"/>
  <c r="Z130" i="4"/>
  <c r="Z146" i="4"/>
  <c r="Z107" i="4"/>
  <c r="Z123" i="4"/>
  <c r="Z39" i="4"/>
  <c r="AB39" i="4"/>
  <c r="Z30" i="4"/>
  <c r="H30" i="13"/>
  <c r="N19" i="6"/>
  <c r="S19" i="6"/>
  <c r="T20" i="5"/>
  <c r="V20" i="5"/>
  <c r="T19" i="5"/>
  <c r="V19" i="5"/>
  <c r="AA17" i="5"/>
  <c r="AA15" i="5"/>
  <c r="S30" i="5"/>
  <c r="K86" i="13"/>
  <c r="M86" i="13" s="1"/>
  <c r="K155" i="13"/>
  <c r="M155" i="13" s="1"/>
  <c r="K85" i="13"/>
  <c r="M85" i="13" s="1"/>
  <c r="K154" i="13"/>
  <c r="L154" i="13" s="1"/>
  <c r="K87" i="13"/>
  <c r="M87" i="13" s="1"/>
  <c r="K156" i="13"/>
  <c r="M156" i="13" s="1"/>
  <c r="L62" i="13"/>
  <c r="T77" i="4"/>
  <c r="V77" i="4"/>
  <c r="T123" i="4"/>
  <c r="V123" i="4"/>
  <c r="T30" i="4"/>
  <c r="V30" i="4"/>
  <c r="T192" i="4"/>
  <c r="V192" i="4"/>
  <c r="T54" i="4"/>
  <c r="K54" i="13"/>
  <c r="K146" i="13"/>
  <c r="V54" i="4"/>
  <c r="K77" i="13"/>
  <c r="T169" i="4"/>
  <c r="V169" i="4"/>
  <c r="T146" i="4"/>
  <c r="V146" i="4"/>
  <c r="T100" i="4"/>
  <c r="V100" i="4"/>
  <c r="AC40" i="6"/>
  <c r="AE40" i="6"/>
  <c r="AB153" i="4"/>
  <c r="AE108" i="4"/>
  <c r="AH108" i="4" s="1"/>
  <c r="AA163" i="7"/>
  <c r="J45" i="1"/>
  <c r="E46" i="30" s="1"/>
  <c r="F46" i="30" s="1"/>
  <c r="G46" i="30" s="1"/>
  <c r="H46" i="30" s="1"/>
  <c r="I46" i="30" s="1"/>
  <c r="J46" i="30" s="1"/>
  <c r="J43" i="1"/>
  <c r="E44" i="30" s="1"/>
  <c r="F44" i="30" s="1"/>
  <c r="G44" i="30" s="1"/>
  <c r="H44" i="30" s="1"/>
  <c r="I44" i="30" s="1"/>
  <c r="J44" i="30" s="1"/>
  <c r="J37" i="1"/>
  <c r="E38" i="30" s="1"/>
  <c r="K84" i="13"/>
  <c r="M84" i="13" s="1"/>
  <c r="T14" i="5"/>
  <c r="AE132" i="4"/>
  <c r="AC132" i="4"/>
  <c r="M14" i="13"/>
  <c r="AB16" i="6"/>
  <c r="Q16" i="13" s="1"/>
  <c r="O61" i="13"/>
  <c r="P61" i="13" s="1"/>
  <c r="O38" i="13"/>
  <c r="P38" i="13" s="1"/>
  <c r="P41" i="13"/>
  <c r="P64" i="13"/>
  <c r="L38" i="13"/>
  <c r="M17" i="13"/>
  <c r="L17" i="13"/>
  <c r="M130" i="13"/>
  <c r="L130" i="13"/>
  <c r="M133" i="13"/>
  <c r="L133" i="13"/>
  <c r="M41" i="13"/>
  <c r="L41" i="13"/>
  <c r="M64" i="13"/>
  <c r="L64" i="13"/>
  <c r="M61" i="13"/>
  <c r="L61" i="13"/>
  <c r="AG44" i="5"/>
  <c r="N30" i="5"/>
  <c r="I100" i="13"/>
  <c r="J100" i="13" s="1"/>
  <c r="I169" i="13"/>
  <c r="J169" i="13" s="1"/>
  <c r="AB155" i="4"/>
  <c r="AC40" i="4"/>
  <c r="AB15" i="4"/>
  <c r="V17" i="6"/>
  <c r="T17" i="6"/>
  <c r="Z16" i="6"/>
  <c r="K16" i="13"/>
  <c r="T16" i="6"/>
  <c r="V16" i="6"/>
  <c r="X89" i="7"/>
  <c r="AK42" i="5"/>
  <c r="AG42" i="5"/>
  <c r="AG40" i="5"/>
  <c r="AK40" i="5"/>
  <c r="AA20" i="5"/>
  <c r="AE39" i="6"/>
  <c r="AC39" i="6"/>
  <c r="AB41" i="6"/>
  <c r="Z41" i="6"/>
  <c r="T14" i="6"/>
  <c r="V14" i="6"/>
  <c r="T54" i="6"/>
  <c r="V54" i="6"/>
  <c r="V14" i="5"/>
  <c r="V54" i="5"/>
  <c r="T54" i="5"/>
  <c r="AA19" i="5"/>
  <c r="AF15" i="5"/>
  <c r="Q85" i="13" s="1"/>
  <c r="AB131" i="4"/>
  <c r="AF22" i="4"/>
  <c r="AH22" i="4"/>
  <c r="AK85" i="4"/>
  <c r="AN85" i="4" s="1"/>
  <c r="AI85" i="4"/>
  <c r="AB62" i="4"/>
  <c r="AB63" i="4"/>
  <c r="AB107" i="4"/>
  <c r="AE86" i="4"/>
  <c r="AC86" i="4"/>
  <c r="AB130" i="4"/>
  <c r="Z192" i="4"/>
  <c r="AC16" i="4"/>
  <c r="AE16" i="4"/>
  <c r="AF154" i="4"/>
  <c r="AH154" i="4"/>
  <c r="AH156" i="4"/>
  <c r="AF156" i="4"/>
  <c r="AB14" i="4"/>
  <c r="AB133" i="4"/>
  <c r="AA115" i="7" l="1"/>
  <c r="Z128" i="7"/>
  <c r="J186" i="22"/>
  <c r="P165" i="7"/>
  <c r="O165" i="7"/>
  <c r="N165" i="7"/>
  <c r="U165" i="7"/>
  <c r="X41" i="7"/>
  <c r="X16" i="7" s="1"/>
  <c r="E34" i="18" s="1"/>
  <c r="W43" i="7"/>
  <c r="R18" i="7"/>
  <c r="T43" i="7"/>
  <c r="D99" i="22"/>
  <c r="D100" i="22" s="1"/>
  <c r="D101" i="22" s="1"/>
  <c r="D103" i="22" s="1"/>
  <c r="O132" i="13"/>
  <c r="P132" i="13" s="1"/>
  <c r="T16" i="7"/>
  <c r="U41" i="7"/>
  <c r="D34" i="18"/>
  <c r="AH46" i="4"/>
  <c r="S69" i="13"/>
  <c r="T69" i="13" s="1"/>
  <c r="S46" i="13"/>
  <c r="T46" i="13" s="1"/>
  <c r="AH40" i="4"/>
  <c r="S63" i="13"/>
  <c r="T63" i="13" s="1"/>
  <c r="S40" i="13"/>
  <c r="T40" i="13" s="1"/>
  <c r="AE39" i="4"/>
  <c r="AF39" i="4" s="1"/>
  <c r="Q62" i="13"/>
  <c r="R62" i="13" s="1"/>
  <c r="Q39" i="13"/>
  <c r="R39" i="13" s="1"/>
  <c r="AL137" i="7"/>
  <c r="AM137" i="7" s="1"/>
  <c r="AO137" i="7"/>
  <c r="AP137" i="7" s="1"/>
  <c r="AR137" i="7" s="1"/>
  <c r="AU137" i="7" s="1"/>
  <c r="Z89" i="7"/>
  <c r="AA89" i="7" s="1"/>
  <c r="AC89" i="7"/>
  <c r="AD89" i="7" s="1"/>
  <c r="AL66" i="7"/>
  <c r="AM66" i="7" s="1"/>
  <c r="AO66" i="7"/>
  <c r="AP66" i="7" s="1"/>
  <c r="AR66" i="7" s="1"/>
  <c r="L207" i="22"/>
  <c r="K208" i="22"/>
  <c r="K209" i="22" s="1"/>
  <c r="K211" i="22" s="1"/>
  <c r="AC17" i="7"/>
  <c r="AF65" i="7"/>
  <c r="AG65" i="7" s="1"/>
  <c r="AI65" i="7"/>
  <c r="AJ65" i="7" s="1"/>
  <c r="AL161" i="7"/>
  <c r="AM161" i="7" s="1"/>
  <c r="AO161" i="7"/>
  <c r="AP161" i="7" s="1"/>
  <c r="AR161" i="7" s="1"/>
  <c r="AU161" i="7" s="1"/>
  <c r="AB17" i="5"/>
  <c r="O156" i="13"/>
  <c r="P156" i="13" s="1"/>
  <c r="P87" i="13"/>
  <c r="AF113" i="7"/>
  <c r="AG113" i="7" s="1"/>
  <c r="AI113" i="7"/>
  <c r="O158" i="13"/>
  <c r="AF162" i="7"/>
  <c r="AG162" i="7" s="1"/>
  <c r="AI162" i="7"/>
  <c r="AJ162" i="7" s="1"/>
  <c r="AF138" i="7"/>
  <c r="AG138" i="7" s="1"/>
  <c r="AI138" i="7"/>
  <c r="K184" i="22"/>
  <c r="K176" i="22"/>
  <c r="Z17" i="7"/>
  <c r="AF67" i="7"/>
  <c r="AG67" i="7" s="1"/>
  <c r="AI67" i="7"/>
  <c r="AJ67" i="7" s="1"/>
  <c r="AL90" i="7"/>
  <c r="AM90" i="7" s="1"/>
  <c r="AO90" i="7"/>
  <c r="AP90" i="7" s="1"/>
  <c r="AR90" i="7" s="1"/>
  <c r="AU90" i="7" s="1"/>
  <c r="J220" i="22"/>
  <c r="J222" i="22" s="1"/>
  <c r="J212" i="22"/>
  <c r="AB20" i="5"/>
  <c r="I99" i="18" s="1"/>
  <c r="P90" i="13"/>
  <c r="O159" i="13"/>
  <c r="AF91" i="7"/>
  <c r="AG91" i="7" s="1"/>
  <c r="AI91" i="7"/>
  <c r="AJ91" i="7" s="1"/>
  <c r="AB15" i="5"/>
  <c r="P85" i="13"/>
  <c r="O154" i="13"/>
  <c r="P154" i="13" s="1"/>
  <c r="AF136" i="7"/>
  <c r="AI136" i="7"/>
  <c r="AJ136" i="7" s="1"/>
  <c r="L172" i="22"/>
  <c r="L173" i="22" s="1"/>
  <c r="L175" i="22" s="1"/>
  <c r="AF114" i="7"/>
  <c r="AG114" i="7" s="1"/>
  <c r="AI114" i="7"/>
  <c r="AF163" i="7"/>
  <c r="AG163" i="7" s="1"/>
  <c r="AI163" i="7"/>
  <c r="AJ163" i="7" s="1"/>
  <c r="I30" i="13"/>
  <c r="J30" i="13" s="1"/>
  <c r="Z136" i="7"/>
  <c r="K30" i="13"/>
  <c r="K19" i="13"/>
  <c r="K100" i="13"/>
  <c r="M100" i="13" s="1"/>
  <c r="K160" i="13"/>
  <c r="K91" i="13"/>
  <c r="AC39" i="4"/>
  <c r="AE153" i="4"/>
  <c r="AH153" i="4" s="1"/>
  <c r="AC169" i="4"/>
  <c r="AC146" i="4"/>
  <c r="AC30" i="4"/>
  <c r="T19" i="6"/>
  <c r="V19" i="6"/>
  <c r="L85" i="13"/>
  <c r="AG15" i="5"/>
  <c r="AB19" i="5"/>
  <c r="AG19" i="5"/>
  <c r="AK16" i="5"/>
  <c r="AP40" i="5"/>
  <c r="AU40" i="5" s="1"/>
  <c r="AK18" i="5"/>
  <c r="S88" i="13" s="1"/>
  <c r="AP42" i="5"/>
  <c r="AU42" i="5" s="1"/>
  <c r="AF17" i="5"/>
  <c r="L86" i="13"/>
  <c r="K169" i="13"/>
  <c r="L87" i="13"/>
  <c r="Z54" i="4"/>
  <c r="O54" i="13"/>
  <c r="P54" i="13" s="1"/>
  <c r="O77" i="13"/>
  <c r="P77" i="13" s="1"/>
  <c r="AD42" i="7"/>
  <c r="AF40" i="6"/>
  <c r="AH40" i="6"/>
  <c r="AC153" i="4"/>
  <c r="AF108" i="4"/>
  <c r="L84" i="13"/>
  <c r="AG41" i="5"/>
  <c r="AK41" i="5"/>
  <c r="AP41" i="5" s="1"/>
  <c r="AU41" i="5" s="1"/>
  <c r="G127" i="30"/>
  <c r="G92" i="30" s="1"/>
  <c r="AC16" i="6"/>
  <c r="J33" i="1"/>
  <c r="AF132" i="4"/>
  <c r="AH132" i="4"/>
  <c r="R16" i="13"/>
  <c r="L156" i="13"/>
  <c r="M154" i="13"/>
  <c r="AE16" i="6"/>
  <c r="Z15" i="6"/>
  <c r="L155" i="13"/>
  <c r="AK44" i="5"/>
  <c r="Q61" i="13"/>
  <c r="R61" i="13" s="1"/>
  <c r="Q38" i="13"/>
  <c r="R38" i="13" s="1"/>
  <c r="R64" i="13"/>
  <c r="R41" i="13"/>
  <c r="P16" i="13"/>
  <c r="M153" i="13"/>
  <c r="L153" i="13"/>
  <c r="M16" i="13"/>
  <c r="L16" i="13"/>
  <c r="M54" i="13"/>
  <c r="L54" i="13"/>
  <c r="M146" i="13"/>
  <c r="L146" i="13"/>
  <c r="M77" i="13"/>
  <c r="L77" i="13"/>
  <c r="P86" i="13"/>
  <c r="P155" i="13"/>
  <c r="AC155" i="4"/>
  <c r="AE155" i="4"/>
  <c r="AK108" i="4"/>
  <c r="AI108" i="4"/>
  <c r="AC38" i="4"/>
  <c r="AC15" i="4"/>
  <c r="AE15" i="4"/>
  <c r="AC46" i="4"/>
  <c r="AF40" i="4"/>
  <c r="AB15" i="6"/>
  <c r="Q15" i="13" s="1"/>
  <c r="P15" i="13"/>
  <c r="P17" i="13"/>
  <c r="G130" i="30"/>
  <c r="G128" i="30" s="1"/>
  <c r="X160" i="7"/>
  <c r="AL42" i="5"/>
  <c r="AG39" i="5"/>
  <c r="AK39" i="5"/>
  <c r="AL40" i="5"/>
  <c r="AK43" i="5"/>
  <c r="AG43" i="5"/>
  <c r="AF20" i="5"/>
  <c r="Q90" i="13" s="1"/>
  <c r="AB17" i="6"/>
  <c r="Q17" i="13" s="1"/>
  <c r="Z17" i="6"/>
  <c r="AE41" i="6"/>
  <c r="AC41" i="6"/>
  <c r="AH39" i="6"/>
  <c r="AF39" i="6"/>
  <c r="V30" i="5"/>
  <c r="T30" i="5"/>
  <c r="AC107" i="4"/>
  <c r="AC123" i="4"/>
  <c r="AE107" i="4"/>
  <c r="AC131" i="4"/>
  <c r="AE131" i="4"/>
  <c r="AH86" i="4"/>
  <c r="AF86" i="4"/>
  <c r="AE63" i="4"/>
  <c r="AC63" i="4"/>
  <c r="AL85" i="4"/>
  <c r="AC133" i="4"/>
  <c r="AE133" i="4"/>
  <c r="AI156" i="4"/>
  <c r="AK156" i="4"/>
  <c r="AN156" i="4" s="1"/>
  <c r="AC14" i="4"/>
  <c r="AE14" i="4"/>
  <c r="AK154" i="4"/>
  <c r="AN154" i="4" s="1"/>
  <c r="AI154" i="4"/>
  <c r="AC192" i="4"/>
  <c r="AE130" i="4"/>
  <c r="AC130" i="4"/>
  <c r="AK22" i="4"/>
  <c r="AI22" i="4"/>
  <c r="AF16" i="4"/>
  <c r="AH16" i="4"/>
  <c r="AE62" i="4"/>
  <c r="AC62" i="4"/>
  <c r="K186" i="22" l="1"/>
  <c r="O166" i="7"/>
  <c r="N166" i="7"/>
  <c r="P166" i="7"/>
  <c r="U166" i="7"/>
  <c r="Z41" i="7"/>
  <c r="AC41" i="7"/>
  <c r="D63" i="22"/>
  <c r="D64" i="22" s="1"/>
  <c r="D65" i="22" s="1"/>
  <c r="D67" i="22" s="1"/>
  <c r="O131" i="13"/>
  <c r="P131" i="13" s="1"/>
  <c r="D112" i="22"/>
  <c r="D114" i="22" s="1"/>
  <c r="D104" i="22"/>
  <c r="T18" i="7"/>
  <c r="U43" i="7"/>
  <c r="D36" i="18"/>
  <c r="W18" i="7"/>
  <c r="X43" i="7"/>
  <c r="T30" i="6"/>
  <c r="V30" i="6"/>
  <c r="AA17" i="7"/>
  <c r="AS66" i="7"/>
  <c r="L30" i="13"/>
  <c r="Z16" i="7"/>
  <c r="AK46" i="4"/>
  <c r="U69" i="13"/>
  <c r="V69" i="13" s="1"/>
  <c r="U46" i="13"/>
  <c r="V46" i="13" s="1"/>
  <c r="AK40" i="4"/>
  <c r="U40" i="13"/>
  <c r="V40" i="13" s="1"/>
  <c r="U63" i="13"/>
  <c r="V63" i="13" s="1"/>
  <c r="AH39" i="4"/>
  <c r="AI39" i="4" s="1"/>
  <c r="S62" i="13"/>
  <c r="T62" i="13" s="1"/>
  <c r="S39" i="13"/>
  <c r="T39" i="13" s="1"/>
  <c r="AL65" i="7"/>
  <c r="AM65" i="7" s="1"/>
  <c r="AO65" i="7"/>
  <c r="AP65" i="7" s="1"/>
  <c r="AR65" i="7" s="1"/>
  <c r="AL162" i="7"/>
  <c r="AM162" i="7" s="1"/>
  <c r="AO162" i="7"/>
  <c r="AP162" i="7" s="1"/>
  <c r="AR162" i="7" s="1"/>
  <c r="AU162" i="7" s="1"/>
  <c r="AL136" i="7"/>
  <c r="AM136" i="7" s="1"/>
  <c r="AO136" i="7"/>
  <c r="AP136" i="7" s="1"/>
  <c r="AR136" i="7" s="1"/>
  <c r="AO114" i="7"/>
  <c r="AP114" i="7" s="1"/>
  <c r="AR114" i="7" s="1"/>
  <c r="AU114" i="7" s="1"/>
  <c r="AJ114" i="7"/>
  <c r="AL114" i="7" s="1"/>
  <c r="AM114" i="7" s="1"/>
  <c r="AC16" i="7"/>
  <c r="AD41" i="7"/>
  <c r="M207" i="22"/>
  <c r="L208" i="22"/>
  <c r="L209" i="22" s="1"/>
  <c r="L211" i="22" s="1"/>
  <c r="AT66" i="7"/>
  <c r="E99" i="22"/>
  <c r="E100" i="22" s="1"/>
  <c r="E101" i="22" s="1"/>
  <c r="E103" i="22" s="1"/>
  <c r="Q132" i="13"/>
  <c r="R132" i="13" s="1"/>
  <c r="P89" i="13"/>
  <c r="R89" i="13"/>
  <c r="AL67" i="7"/>
  <c r="AM67" i="7" s="1"/>
  <c r="AO67" i="7"/>
  <c r="AP67" i="7" s="1"/>
  <c r="AR67" i="7" s="1"/>
  <c r="AU67" i="7" s="1"/>
  <c r="Z160" i="7"/>
  <c r="AC160" i="7"/>
  <c r="AU66" i="7"/>
  <c r="AG17" i="5"/>
  <c r="Q87" i="13"/>
  <c r="R87" i="13" s="1"/>
  <c r="AL16" i="5"/>
  <c r="S86" i="13"/>
  <c r="L184" i="22"/>
  <c r="L186" i="22" s="1"/>
  <c r="L176" i="22"/>
  <c r="P158" i="13"/>
  <c r="R158" i="13"/>
  <c r="Y158" i="13"/>
  <c r="AD17" i="7"/>
  <c r="F35" i="18" s="1"/>
  <c r="AI42" i="7"/>
  <c r="AF89" i="7"/>
  <c r="AG89" i="7" s="1"/>
  <c r="AI89" i="7"/>
  <c r="AJ89" i="7" s="1"/>
  <c r="R90" i="13"/>
  <c r="AL91" i="7"/>
  <c r="AM91" i="7" s="1"/>
  <c r="AO91" i="7"/>
  <c r="AP91" i="7" s="1"/>
  <c r="AR91" i="7" s="1"/>
  <c r="AU91" i="7" s="1"/>
  <c r="M172" i="22"/>
  <c r="M173" i="22" s="1"/>
  <c r="M175" i="22" s="1"/>
  <c r="P159" i="13"/>
  <c r="R159" i="13"/>
  <c r="Y159" i="13"/>
  <c r="AO113" i="7"/>
  <c r="AP113" i="7" s="1"/>
  <c r="AR113" i="7" s="1"/>
  <c r="AU113" i="7" s="1"/>
  <c r="AJ113" i="7"/>
  <c r="AL113" i="7" s="1"/>
  <c r="AM113" i="7" s="1"/>
  <c r="K212" i="22"/>
  <c r="K220" i="22"/>
  <c r="K222" i="22" s="1"/>
  <c r="AL163" i="7"/>
  <c r="AM163" i="7" s="1"/>
  <c r="AO163" i="7"/>
  <c r="AP163" i="7" s="1"/>
  <c r="AR163" i="7" s="1"/>
  <c r="AU163" i="7" s="1"/>
  <c r="AP18" i="5"/>
  <c r="U88" i="13" s="1"/>
  <c r="M30" i="13"/>
  <c r="AA152" i="7"/>
  <c r="AG136" i="7"/>
  <c r="AA136" i="7"/>
  <c r="L19" i="13"/>
  <c r="M19" i="13"/>
  <c r="L100" i="13"/>
  <c r="L91" i="13"/>
  <c r="M91" i="13"/>
  <c r="T88" i="13"/>
  <c r="AL18" i="5"/>
  <c r="S157" i="13"/>
  <c r="T157" i="13" s="1"/>
  <c r="M160" i="13"/>
  <c r="L160" i="13"/>
  <c r="AF153" i="4"/>
  <c r="AF30" i="4"/>
  <c r="Q154" i="13"/>
  <c r="R154" i="13" s="1"/>
  <c r="AP16" i="5"/>
  <c r="AG20" i="5"/>
  <c r="R85" i="13"/>
  <c r="AK15" i="5"/>
  <c r="AP39" i="5"/>
  <c r="AP15" i="5" s="1"/>
  <c r="U85" i="13" s="1"/>
  <c r="AK19" i="5"/>
  <c r="AP43" i="5"/>
  <c r="AL44" i="5"/>
  <c r="AP44" i="5"/>
  <c r="AQ44" i="5" s="1"/>
  <c r="AL41" i="5"/>
  <c r="AK17" i="5"/>
  <c r="S87" i="13" s="1"/>
  <c r="H13" i="2"/>
  <c r="E34" i="30"/>
  <c r="AC54" i="4"/>
  <c r="Q77" i="13"/>
  <c r="R77" i="13" s="1"/>
  <c r="Q54" i="13"/>
  <c r="R54" i="13" s="1"/>
  <c r="AD139" i="7"/>
  <c r="H125" i="30"/>
  <c r="H123" i="30" s="1"/>
  <c r="H127" i="30" s="1"/>
  <c r="H92" i="30" s="1"/>
  <c r="AF42" i="7"/>
  <c r="AD115" i="7"/>
  <c r="AD128" i="7" s="1"/>
  <c r="AK40" i="6"/>
  <c r="AL40" i="6" s="1"/>
  <c r="AI40" i="6"/>
  <c r="AF169" i="4"/>
  <c r="AT161" i="7"/>
  <c r="AT90" i="7"/>
  <c r="AT137" i="7"/>
  <c r="AA41" i="7"/>
  <c r="G132" i="30"/>
  <c r="G93" i="30" s="1"/>
  <c r="AF16" i="6"/>
  <c r="AH16" i="6"/>
  <c r="AK132" i="4"/>
  <c r="AI132" i="4"/>
  <c r="S16" i="13"/>
  <c r="T16" i="13" s="1"/>
  <c r="S38" i="13"/>
  <c r="S61" i="13"/>
  <c r="T61" i="13" s="1"/>
  <c r="T64" i="13"/>
  <c r="T41" i="13"/>
  <c r="M169" i="13"/>
  <c r="L169" i="13"/>
  <c r="Q156" i="13"/>
  <c r="R156" i="13" s="1"/>
  <c r="R86" i="13"/>
  <c r="Q155" i="13"/>
  <c r="R155" i="13" s="1"/>
  <c r="AH155" i="4"/>
  <c r="AF155" i="4"/>
  <c r="AI40" i="4"/>
  <c r="AF38" i="4"/>
  <c r="AF15" i="4"/>
  <c r="AH15" i="4"/>
  <c r="AF46" i="4"/>
  <c r="AN108" i="4"/>
  <c r="AL108" i="4"/>
  <c r="AC15" i="6"/>
  <c r="AE15" i="6"/>
  <c r="R15" i="13"/>
  <c r="AJ138" i="7"/>
  <c r="AS137" i="7"/>
  <c r="AS90" i="7"/>
  <c r="AS161" i="7"/>
  <c r="R17" i="13"/>
  <c r="AL43" i="5"/>
  <c r="AL39" i="5"/>
  <c r="AU16" i="5"/>
  <c r="W86" i="13" s="1"/>
  <c r="AQ40" i="5"/>
  <c r="AQ42" i="5"/>
  <c r="AU18" i="5"/>
  <c r="W88" i="13" s="1"/>
  <c r="AK20" i="5"/>
  <c r="AC17" i="6"/>
  <c r="AE17" i="6"/>
  <c r="AF41" i="6"/>
  <c r="AH41" i="6"/>
  <c r="AI39" i="6"/>
  <c r="AK39" i="6"/>
  <c r="E91" i="18"/>
  <c r="AK16" i="4"/>
  <c r="AI16" i="4"/>
  <c r="AI153" i="4"/>
  <c r="AK153" i="4"/>
  <c r="AH63" i="4"/>
  <c r="AF63" i="4"/>
  <c r="AF192" i="4"/>
  <c r="AF133" i="4"/>
  <c r="AH133" i="4"/>
  <c r="AF131" i="4"/>
  <c r="AH131" i="4"/>
  <c r="AF14" i="4"/>
  <c r="AH14" i="4"/>
  <c r="AK86" i="4"/>
  <c r="AN86" i="4" s="1"/>
  <c r="AI86" i="4"/>
  <c r="AF123" i="4"/>
  <c r="AH107" i="4"/>
  <c r="AF107" i="4"/>
  <c r="AL156" i="4"/>
  <c r="AH130" i="4"/>
  <c r="AF130" i="4"/>
  <c r="AF146" i="4"/>
  <c r="AF62" i="4"/>
  <c r="AH62" i="4"/>
  <c r="AL22" i="4"/>
  <c r="AN22" i="4"/>
  <c r="AL154" i="4"/>
  <c r="N167" i="7" l="1"/>
  <c r="P167" i="7"/>
  <c r="O167" i="7"/>
  <c r="U167" i="7"/>
  <c r="Z43" i="7"/>
  <c r="AC43" i="7"/>
  <c r="X18" i="7"/>
  <c r="O133" i="13"/>
  <c r="P133" i="13" s="1"/>
  <c r="D135" i="22"/>
  <c r="D136" i="22" s="1"/>
  <c r="D68" i="22"/>
  <c r="D76" i="22"/>
  <c r="D78" i="22" s="1"/>
  <c r="E63" i="22"/>
  <c r="E64" i="22" s="1"/>
  <c r="E65" i="22" s="1"/>
  <c r="E67" i="22" s="1"/>
  <c r="E76" i="22" s="1"/>
  <c r="AS114" i="7"/>
  <c r="Q131" i="13"/>
  <c r="W69" i="13"/>
  <c r="W46" i="13"/>
  <c r="W63" i="13"/>
  <c r="W40" i="13"/>
  <c r="X40" i="13" s="1"/>
  <c r="U62" i="13"/>
  <c r="V62" i="13" s="1"/>
  <c r="U39" i="13"/>
  <c r="V39" i="13" s="1"/>
  <c r="AK39" i="4"/>
  <c r="AN39" i="4" s="1"/>
  <c r="AO138" i="7"/>
  <c r="AP138" i="7" s="1"/>
  <c r="AR138" i="7" s="1"/>
  <c r="AU138" i="7" s="1"/>
  <c r="AQ16" i="5"/>
  <c r="U86" i="13"/>
  <c r="N207" i="22"/>
  <c r="M208" i="22"/>
  <c r="M209" i="22" s="1"/>
  <c r="M211" i="22" s="1"/>
  <c r="AT114" i="7"/>
  <c r="AF17" i="7"/>
  <c r="M176" i="22"/>
  <c r="M184" i="22"/>
  <c r="M186" i="22" s="1"/>
  <c r="AI17" i="7"/>
  <c r="AJ42" i="7"/>
  <c r="AD160" i="7"/>
  <c r="H130" i="30"/>
  <c r="H128" i="30" s="1"/>
  <c r="H132" i="30" s="1"/>
  <c r="H93" i="30" s="1"/>
  <c r="AD16" i="7"/>
  <c r="AI41" i="7"/>
  <c r="AF41" i="7"/>
  <c r="AL15" i="5"/>
  <c r="S85" i="13"/>
  <c r="T85" i="13" s="1"/>
  <c r="AL20" i="5"/>
  <c r="S90" i="13"/>
  <c r="T90" i="13" s="1"/>
  <c r="AS113" i="7"/>
  <c r="AL19" i="5"/>
  <c r="S89" i="13"/>
  <c r="T89" i="13" s="1"/>
  <c r="N172" i="22"/>
  <c r="N173" i="22" s="1"/>
  <c r="N175" i="22" s="1"/>
  <c r="AL89" i="7"/>
  <c r="AM89" i="7" s="1"/>
  <c r="AO89" i="7"/>
  <c r="AP89" i="7" s="1"/>
  <c r="AR89" i="7" s="1"/>
  <c r="AU89" i="7" s="1"/>
  <c r="AI115" i="7"/>
  <c r="AI128" i="7" s="1"/>
  <c r="AT113" i="7"/>
  <c r="AI139" i="7"/>
  <c r="E104" i="22"/>
  <c r="E112" i="22"/>
  <c r="E114" i="22" s="1"/>
  <c r="L220" i="22"/>
  <c r="L222" i="22" s="1"/>
  <c r="L212" i="22"/>
  <c r="U157" i="13"/>
  <c r="V157" i="13" s="1"/>
  <c r="AQ18" i="5"/>
  <c r="AU136" i="7"/>
  <c r="AQ15" i="5"/>
  <c r="AV16" i="5"/>
  <c r="AX16" i="5"/>
  <c r="AL17" i="5"/>
  <c r="AX18" i="5"/>
  <c r="AV18" i="5"/>
  <c r="W157" i="13"/>
  <c r="V88" i="13"/>
  <c r="AI30" i="4"/>
  <c r="AN153" i="4"/>
  <c r="AI169" i="4"/>
  <c r="AI146" i="4"/>
  <c r="AS91" i="7"/>
  <c r="AT91" i="7"/>
  <c r="AN40" i="6"/>
  <c r="AU44" i="5"/>
  <c r="AV44" i="5" s="1"/>
  <c r="AP20" i="5"/>
  <c r="AU43" i="5"/>
  <c r="AU19" i="5" s="1"/>
  <c r="W89" i="13" s="1"/>
  <c r="AP19" i="5"/>
  <c r="AU39" i="5"/>
  <c r="AU15" i="5" s="1"/>
  <c r="W85" i="13" s="1"/>
  <c r="AP17" i="5"/>
  <c r="U87" i="13" s="1"/>
  <c r="AF54" i="4"/>
  <c r="S77" i="13"/>
  <c r="T77" i="13" s="1"/>
  <c r="S54" i="13"/>
  <c r="T54" i="13" s="1"/>
  <c r="AQ41" i="5"/>
  <c r="AG42" i="7"/>
  <c r="AF139" i="7"/>
  <c r="AF115" i="7"/>
  <c r="AF128" i="7" s="1"/>
  <c r="AK16" i="6"/>
  <c r="AN16" i="6" s="1"/>
  <c r="AI16" i="6"/>
  <c r="U16" i="13"/>
  <c r="V16" i="13" s="1"/>
  <c r="AT162" i="7"/>
  <c r="AT163" i="7"/>
  <c r="AT67" i="7"/>
  <c r="AA160" i="7"/>
  <c r="AU65" i="7"/>
  <c r="AT65" i="7"/>
  <c r="AT136" i="7"/>
  <c r="S154" i="13"/>
  <c r="T154" i="13" s="1"/>
  <c r="AA16" i="7"/>
  <c r="AN132" i="4"/>
  <c r="AL132" i="4"/>
  <c r="I14" i="18"/>
  <c r="U61" i="13"/>
  <c r="V61" i="13" s="1"/>
  <c r="U38" i="13"/>
  <c r="V38" i="13" s="1"/>
  <c r="V64" i="13"/>
  <c r="V41" i="13"/>
  <c r="T38" i="13"/>
  <c r="T86" i="13"/>
  <c r="S155" i="13"/>
  <c r="T155" i="13" s="1"/>
  <c r="T87" i="13"/>
  <c r="AV42" i="5"/>
  <c r="AV40" i="5"/>
  <c r="S156" i="13"/>
  <c r="T156" i="13" s="1"/>
  <c r="AI155" i="4"/>
  <c r="AK155" i="4"/>
  <c r="AI46" i="4"/>
  <c r="AI15" i="4"/>
  <c r="AK15" i="4"/>
  <c r="AN40" i="4"/>
  <c r="AL40" i="4"/>
  <c r="AI38" i="4"/>
  <c r="AF15" i="6"/>
  <c r="S15" i="13"/>
  <c r="T15" i="13" s="1"/>
  <c r="AH15" i="6"/>
  <c r="AS65" i="7"/>
  <c r="AS67" i="7"/>
  <c r="AS163" i="7"/>
  <c r="S17" i="13"/>
  <c r="T17" i="13" s="1"/>
  <c r="AS162" i="7"/>
  <c r="AA176" i="7"/>
  <c r="AS136" i="7"/>
  <c r="AL138" i="7"/>
  <c r="AQ43" i="5"/>
  <c r="AQ39" i="5"/>
  <c r="AX41" i="5"/>
  <c r="AX42" i="5"/>
  <c r="F91" i="18"/>
  <c r="AH17" i="6"/>
  <c r="AI17" i="6" s="1"/>
  <c r="AF17" i="6"/>
  <c r="AK41" i="6"/>
  <c r="AI41" i="6"/>
  <c r="AL39" i="6"/>
  <c r="AN39" i="6"/>
  <c r="AX40" i="5"/>
  <c r="AK130" i="4"/>
  <c r="AI130" i="4"/>
  <c r="AK14" i="4"/>
  <c r="AI14" i="4"/>
  <c r="AK133" i="4"/>
  <c r="AN133" i="4" s="1"/>
  <c r="AI133" i="4"/>
  <c r="AN16" i="4"/>
  <c r="AL16" i="4"/>
  <c r="AI123" i="4"/>
  <c r="AI107" i="4"/>
  <c r="AK107" i="4"/>
  <c r="AK63" i="4"/>
  <c r="AN63" i="4" s="1"/>
  <c r="AI63" i="4"/>
  <c r="AI192" i="4"/>
  <c r="AK131" i="4"/>
  <c r="AN131" i="4" s="1"/>
  <c r="AI131" i="4"/>
  <c r="AK62" i="4"/>
  <c r="AN62" i="4" s="1"/>
  <c r="AI62" i="4"/>
  <c r="AL86" i="4"/>
  <c r="AL153" i="4"/>
  <c r="D137" i="22" l="1"/>
  <c r="D139" i="22" s="1"/>
  <c r="E78" i="22"/>
  <c r="D140" i="22"/>
  <c r="D148" i="22"/>
  <c r="D150" i="22" s="1"/>
  <c r="E36" i="18"/>
  <c r="AC18" i="7"/>
  <c r="AD43" i="7"/>
  <c r="Z18" i="7"/>
  <c r="AA43" i="7"/>
  <c r="E68" i="22"/>
  <c r="F99" i="22"/>
  <c r="F100" i="22" s="1"/>
  <c r="F101" i="22" s="1"/>
  <c r="F103" i="22" s="1"/>
  <c r="F104" i="22" s="1"/>
  <c r="AT89" i="7"/>
  <c r="AS89" i="7"/>
  <c r="X46" i="13"/>
  <c r="Y46" i="13"/>
  <c r="Y69" i="13"/>
  <c r="X69" i="13"/>
  <c r="AL39" i="4"/>
  <c r="W62" i="13"/>
  <c r="X62" i="13" s="1"/>
  <c r="W39" i="13"/>
  <c r="X39" i="13" s="1"/>
  <c r="AI160" i="7"/>
  <c r="AF160" i="7"/>
  <c r="AQ20" i="5"/>
  <c r="U90" i="13"/>
  <c r="V90" i="13" s="1"/>
  <c r="AJ139" i="7"/>
  <c r="I125" i="30"/>
  <c r="I123" i="30" s="1"/>
  <c r="I127" i="30" s="1"/>
  <c r="I92" i="30" s="1"/>
  <c r="O172" i="22"/>
  <c r="O173" i="22" s="1"/>
  <c r="O175" i="22" s="1"/>
  <c r="AF16" i="7"/>
  <c r="AG41" i="7"/>
  <c r="AJ17" i="7"/>
  <c r="G35" i="18" s="1"/>
  <c r="AO42" i="7"/>
  <c r="AL42" i="7"/>
  <c r="M220" i="22"/>
  <c r="M222" i="22" s="1"/>
  <c r="M212" i="22"/>
  <c r="AI16" i="7"/>
  <c r="AJ41" i="7"/>
  <c r="O207" i="22"/>
  <c r="N208" i="22"/>
  <c r="N209" i="22" s="1"/>
  <c r="N211" i="22" s="1"/>
  <c r="Y89" i="13"/>
  <c r="AO115" i="7"/>
  <c r="AO128" i="7" s="1"/>
  <c r="AJ115" i="7"/>
  <c r="AJ128" i="7" s="1"/>
  <c r="N184" i="22"/>
  <c r="N186" i="22" s="1"/>
  <c r="N176" i="22"/>
  <c r="AQ19" i="5"/>
  <c r="U89" i="13"/>
  <c r="V89" i="13" s="1"/>
  <c r="F34" i="18"/>
  <c r="V85" i="13"/>
  <c r="AQ17" i="5"/>
  <c r="AV15" i="5"/>
  <c r="AX15" i="5"/>
  <c r="X88" i="13"/>
  <c r="Y88" i="13"/>
  <c r="AX19" i="5"/>
  <c r="AV19" i="5"/>
  <c r="Y157" i="13"/>
  <c r="X157" i="13"/>
  <c r="AN130" i="4"/>
  <c r="AN107" i="4"/>
  <c r="AL30" i="4"/>
  <c r="AL16" i="6"/>
  <c r="AV43" i="5"/>
  <c r="AV41" i="5"/>
  <c r="AU17" i="5"/>
  <c r="W87" i="13" s="1"/>
  <c r="U154" i="13"/>
  <c r="V154" i="13" s="1"/>
  <c r="AI54" i="4"/>
  <c r="U77" i="13"/>
  <c r="V77" i="13" s="1"/>
  <c r="U54" i="13"/>
  <c r="V54" i="13" s="1"/>
  <c r="W16" i="13"/>
  <c r="X16" i="13" s="1"/>
  <c r="AG139" i="7"/>
  <c r="AG152" i="7"/>
  <c r="AG115" i="7"/>
  <c r="AG17" i="7"/>
  <c r="S132" i="13"/>
  <c r="T132" i="13" s="1"/>
  <c r="AX44" i="5"/>
  <c r="AS138" i="7"/>
  <c r="AT138" i="7"/>
  <c r="AN169" i="4"/>
  <c r="AL169" i="4"/>
  <c r="Y40" i="13"/>
  <c r="AI15" i="6"/>
  <c r="X63" i="13"/>
  <c r="Y63" i="13"/>
  <c r="W38" i="13"/>
  <c r="X38" i="13" s="1"/>
  <c r="W61" i="13"/>
  <c r="X41" i="13"/>
  <c r="R131" i="13"/>
  <c r="V87" i="13"/>
  <c r="AV39" i="5"/>
  <c r="U156" i="13"/>
  <c r="V156" i="13" s="1"/>
  <c r="V86" i="13"/>
  <c r="U155" i="13"/>
  <c r="V155" i="13" s="1"/>
  <c r="AN155" i="4"/>
  <c r="AL155" i="4"/>
  <c r="AL15" i="4"/>
  <c r="AN15" i="4"/>
  <c r="AN46" i="4"/>
  <c r="AL46" i="4"/>
  <c r="AN38" i="4"/>
  <c r="AL38" i="4"/>
  <c r="AK15" i="6"/>
  <c r="U15" i="13"/>
  <c r="V15" i="13" s="1"/>
  <c r="U17" i="13"/>
  <c r="V17" i="13" s="1"/>
  <c r="AM138" i="7"/>
  <c r="AU20" i="5"/>
  <c r="W90" i="13" s="1"/>
  <c r="AK17" i="6"/>
  <c r="AL41" i="6"/>
  <c r="AN41" i="6"/>
  <c r="G91" i="18"/>
  <c r="AX43" i="5"/>
  <c r="AX39" i="5"/>
  <c r="AL133" i="4"/>
  <c r="AL130" i="4"/>
  <c r="AL62" i="4"/>
  <c r="AL63" i="4"/>
  <c r="AL107" i="4"/>
  <c r="AL14" i="4"/>
  <c r="AN14" i="4"/>
  <c r="AL131" i="4"/>
  <c r="P168" i="7" l="1"/>
  <c r="N168" i="7"/>
  <c r="O168" i="7"/>
  <c r="U168" i="7"/>
  <c r="F112" i="22"/>
  <c r="F114" i="22" s="1"/>
  <c r="AF43" i="7"/>
  <c r="AI43" i="7"/>
  <c r="AD18" i="7"/>
  <c r="E135" i="22"/>
  <c r="E136" i="22" s="1"/>
  <c r="E137" i="22" s="1"/>
  <c r="E139" i="22" s="1"/>
  <c r="Q133" i="13"/>
  <c r="R133" i="13" s="1"/>
  <c r="AA18" i="7"/>
  <c r="Y62" i="13"/>
  <c r="Y39" i="13"/>
  <c r="X89" i="13"/>
  <c r="F63" i="22"/>
  <c r="F64" i="22" s="1"/>
  <c r="F65" i="22" s="1"/>
  <c r="F67" i="22" s="1"/>
  <c r="S131" i="13"/>
  <c r="T131" i="13" s="1"/>
  <c r="AG16" i="7"/>
  <c r="AL139" i="7"/>
  <c r="AO139" i="7"/>
  <c r="I130" i="30"/>
  <c r="I128" i="30" s="1"/>
  <c r="I132" i="30" s="1"/>
  <c r="I93" i="30" s="1"/>
  <c r="AJ160" i="7"/>
  <c r="AL115" i="7"/>
  <c r="AL128" i="7" s="1"/>
  <c r="O184" i="22"/>
  <c r="O186" i="22" s="1"/>
  <c r="O176" i="22"/>
  <c r="AP115" i="7"/>
  <c r="AP128" i="7" s="1"/>
  <c r="N212" i="22"/>
  <c r="N220" i="22"/>
  <c r="N222" i="22" s="1"/>
  <c r="P172" i="22"/>
  <c r="P173" i="22" s="1"/>
  <c r="P175" i="22" s="1"/>
  <c r="Y90" i="13"/>
  <c r="X90" i="13"/>
  <c r="AO17" i="7"/>
  <c r="AP42" i="7"/>
  <c r="P207" i="22"/>
  <c r="O208" i="22"/>
  <c r="O209" i="22" s="1"/>
  <c r="O211" i="22" s="1"/>
  <c r="AJ16" i="7"/>
  <c r="AO41" i="7"/>
  <c r="AL41" i="7"/>
  <c r="AL17" i="7"/>
  <c r="AM42" i="7"/>
  <c r="AG176" i="7"/>
  <c r="AG160" i="7"/>
  <c r="Y85" i="13"/>
  <c r="AV17" i="5"/>
  <c r="AX17" i="5"/>
  <c r="Y87" i="13"/>
  <c r="AX20" i="5"/>
  <c r="AV20" i="5"/>
  <c r="W154" i="13"/>
  <c r="Y154" i="13" s="1"/>
  <c r="AL54" i="4"/>
  <c r="W77" i="13"/>
  <c r="W54" i="13"/>
  <c r="Y16" i="13"/>
  <c r="AN146" i="4"/>
  <c r="AL146" i="4"/>
  <c r="AN123" i="4"/>
  <c r="AL123" i="4"/>
  <c r="AN192" i="4"/>
  <c r="AL192" i="4"/>
  <c r="AN54" i="4"/>
  <c r="AN15" i="6"/>
  <c r="I15" i="18"/>
  <c r="AL15" i="6"/>
  <c r="I13" i="18"/>
  <c r="Y38" i="13"/>
  <c r="Y41" i="13"/>
  <c r="Y64" i="13"/>
  <c r="X64" i="13"/>
  <c r="Y61" i="13"/>
  <c r="X61" i="13"/>
  <c r="W156" i="13"/>
  <c r="W155" i="13"/>
  <c r="W15" i="13"/>
  <c r="W17" i="13"/>
  <c r="H91" i="18"/>
  <c r="AN17" i="6"/>
  <c r="AL17" i="6"/>
  <c r="AN30" i="4"/>
  <c r="E140" i="22" l="1"/>
  <c r="E148" i="22"/>
  <c r="E150" i="22" s="1"/>
  <c r="F36" i="18"/>
  <c r="AJ43" i="7"/>
  <c r="AI18" i="7"/>
  <c r="AG43" i="7"/>
  <c r="AF18" i="7"/>
  <c r="AM17" i="7"/>
  <c r="AL16" i="7"/>
  <c r="AM41" i="7"/>
  <c r="Q207" i="22"/>
  <c r="P208" i="22"/>
  <c r="P209" i="22" s="1"/>
  <c r="P211" i="22" s="1"/>
  <c r="AP17" i="7"/>
  <c r="AR42" i="7"/>
  <c r="AM115" i="7"/>
  <c r="AP139" i="7"/>
  <c r="J125" i="30"/>
  <c r="J123" i="30" s="1"/>
  <c r="AO16" i="7"/>
  <c r="AP41" i="7"/>
  <c r="AO160" i="7"/>
  <c r="AL160" i="7"/>
  <c r="AM139" i="7"/>
  <c r="AM152" i="7"/>
  <c r="F68" i="22"/>
  <c r="F76" i="22"/>
  <c r="F78" i="22" s="1"/>
  <c r="G34" i="18"/>
  <c r="P184" i="22"/>
  <c r="P186" i="22" s="1"/>
  <c r="P176" i="22"/>
  <c r="G99" i="22"/>
  <c r="G100" i="22" s="1"/>
  <c r="G101" i="22" s="1"/>
  <c r="G103" i="22" s="1"/>
  <c r="U132" i="13"/>
  <c r="V132" i="13" s="1"/>
  <c r="O220" i="22"/>
  <c r="O222" i="22" s="1"/>
  <c r="O212" i="22"/>
  <c r="Q172" i="22"/>
  <c r="Q173" i="22" s="1"/>
  <c r="Q175" i="22" s="1"/>
  <c r="AR115" i="7"/>
  <c r="X85" i="13"/>
  <c r="X87" i="13"/>
  <c r="X154" i="13"/>
  <c r="X54" i="13"/>
  <c r="Y54" i="13"/>
  <c r="X77" i="13"/>
  <c r="Y77" i="13"/>
  <c r="Y86" i="13"/>
  <c r="X86" i="13"/>
  <c r="Y15" i="13"/>
  <c r="X15" i="13"/>
  <c r="Y17" i="13"/>
  <c r="X17" i="13"/>
  <c r="Y156" i="13"/>
  <c r="X156" i="13"/>
  <c r="Y155" i="13"/>
  <c r="X155" i="13"/>
  <c r="AT115" i="7" l="1"/>
  <c r="AT128" i="7" s="1"/>
  <c r="AR128" i="7"/>
  <c r="AL43" i="7"/>
  <c r="AO43" i="7"/>
  <c r="AJ18" i="7"/>
  <c r="F135" i="22"/>
  <c r="F136" i="22" s="1"/>
  <c r="F137" i="22" s="1"/>
  <c r="F139" i="22" s="1"/>
  <c r="S133" i="13"/>
  <c r="T133" i="13" s="1"/>
  <c r="AG18" i="7"/>
  <c r="J127" i="30"/>
  <c r="K123" i="30"/>
  <c r="P212" i="22"/>
  <c r="P220" i="22"/>
  <c r="P222" i="22" s="1"/>
  <c r="AR139" i="7"/>
  <c r="R207" i="22"/>
  <c r="Q208" i="22"/>
  <c r="Q209" i="22" s="1"/>
  <c r="Q211" i="22" s="1"/>
  <c r="Q176" i="22"/>
  <c r="Q184" i="22"/>
  <c r="Q186" i="22" s="1"/>
  <c r="AM176" i="7"/>
  <c r="AM160" i="7"/>
  <c r="AU42" i="7"/>
  <c r="AR17" i="7"/>
  <c r="AT17" i="7" s="1"/>
  <c r="AS42" i="7"/>
  <c r="AT42" i="7"/>
  <c r="G63" i="22"/>
  <c r="G64" i="22" s="1"/>
  <c r="G65" i="22" s="1"/>
  <c r="G67" i="22" s="1"/>
  <c r="U131" i="13"/>
  <c r="V131" i="13" s="1"/>
  <c r="AM16" i="7"/>
  <c r="AU115" i="7"/>
  <c r="AS115" i="7"/>
  <c r="AP16" i="7"/>
  <c r="AR41" i="7"/>
  <c r="R172" i="22"/>
  <c r="R173" i="22" s="1"/>
  <c r="R175" i="22" s="1"/>
  <c r="G112" i="22"/>
  <c r="G114" i="22" s="1"/>
  <c r="G104" i="22"/>
  <c r="J130" i="30"/>
  <c r="J128" i="30" s="1"/>
  <c r="AP160" i="7"/>
  <c r="H35" i="18"/>
  <c r="I35" i="18" s="1"/>
  <c r="I119" i="18"/>
  <c r="F140" i="22" l="1"/>
  <c r="F148" i="22"/>
  <c r="F150" i="22" s="1"/>
  <c r="G36" i="18"/>
  <c r="AP43" i="7"/>
  <c r="AO18" i="7"/>
  <c r="AM43" i="7"/>
  <c r="AL18" i="7"/>
  <c r="J132" i="30"/>
  <c r="K128" i="30"/>
  <c r="AR16" i="7"/>
  <c r="AT16" i="7" s="1"/>
  <c r="AU41" i="7"/>
  <c r="AS41" i="7"/>
  <c r="AT41" i="7"/>
  <c r="R176" i="22"/>
  <c r="R184" i="22"/>
  <c r="R186" i="22" s="1"/>
  <c r="G68" i="22"/>
  <c r="G76" i="22"/>
  <c r="G78" i="22" s="1"/>
  <c r="K127" i="30"/>
  <c r="J92" i="30"/>
  <c r="K92" i="30" s="1"/>
  <c r="S172" i="22"/>
  <c r="S173" i="22" s="1"/>
  <c r="S175" i="22" s="1"/>
  <c r="W132" i="13"/>
  <c r="AU17" i="7"/>
  <c r="AS17" i="7"/>
  <c r="Q220" i="22"/>
  <c r="Q222" i="22" s="1"/>
  <c r="Q212" i="22"/>
  <c r="H34" i="18"/>
  <c r="I34" i="18" s="1"/>
  <c r="I118" i="18"/>
  <c r="AU139" i="7"/>
  <c r="AS139" i="7"/>
  <c r="AT139" i="7"/>
  <c r="AR160" i="7"/>
  <c r="S207" i="22"/>
  <c r="R208" i="22"/>
  <c r="R209" i="22" s="1"/>
  <c r="R211" i="22" s="1"/>
  <c r="E16" i="3"/>
  <c r="E17" i="3" s="1"/>
  <c r="D13" i="3"/>
  <c r="D16" i="3" s="1"/>
  <c r="D17" i="3" s="1"/>
  <c r="E3" i="3"/>
  <c r="G135" i="22" l="1"/>
  <c r="G136" i="22" s="1"/>
  <c r="G137" i="22" s="1"/>
  <c r="G139" i="22" s="1"/>
  <c r="AM18" i="7"/>
  <c r="U133" i="13"/>
  <c r="V133" i="13" s="1"/>
  <c r="AR43" i="7"/>
  <c r="AP18" i="7"/>
  <c r="AU152" i="7"/>
  <c r="AS152" i="7"/>
  <c r="S176" i="22"/>
  <c r="S184" i="22"/>
  <c r="S186" i="22" s="1"/>
  <c r="Y132" i="13"/>
  <c r="X132" i="13"/>
  <c r="T172" i="22"/>
  <c r="T173" i="22" s="1"/>
  <c r="T175" i="22" s="1"/>
  <c r="J93" i="30"/>
  <c r="K93" i="30" s="1"/>
  <c r="K132" i="30"/>
  <c r="R220" i="22"/>
  <c r="R222" i="22" s="1"/>
  <c r="R212" i="22"/>
  <c r="H99" i="22"/>
  <c r="H63" i="22"/>
  <c r="W131" i="13"/>
  <c r="AS16" i="7"/>
  <c r="AU16" i="7"/>
  <c r="T207" i="22"/>
  <c r="S208" i="22"/>
  <c r="S209" i="22" s="1"/>
  <c r="S211" i="22" s="1"/>
  <c r="AU160" i="7"/>
  <c r="AS160" i="7"/>
  <c r="AT160" i="7"/>
  <c r="F27" i="3"/>
  <c r="E27" i="3"/>
  <c r="F16" i="3"/>
  <c r="F17" i="3" s="1"/>
  <c r="G27" i="3"/>
  <c r="D27" i="3"/>
  <c r="H27" i="3"/>
  <c r="F10" i="3"/>
  <c r="G10" i="3"/>
  <c r="D10" i="3"/>
  <c r="H10" i="3"/>
  <c r="E10" i="3"/>
  <c r="G21" i="1"/>
  <c r="H21" i="1" s="1"/>
  <c r="E9" i="2"/>
  <c r="E14" i="2"/>
  <c r="F14" i="2"/>
  <c r="G14" i="2"/>
  <c r="D14" i="2"/>
  <c r="D11" i="2"/>
  <c r="D12" i="2"/>
  <c r="H108" i="1"/>
  <c r="G108" i="1"/>
  <c r="F108" i="1"/>
  <c r="E108" i="1"/>
  <c r="AU43" i="7" l="1"/>
  <c r="AS43" i="7"/>
  <c r="AT43" i="7"/>
  <c r="AR18" i="7"/>
  <c r="H36" i="18"/>
  <c r="I36" i="18" s="1"/>
  <c r="I120" i="18"/>
  <c r="G140" i="22"/>
  <c r="G148" i="22"/>
  <c r="G150" i="22" s="1"/>
  <c r="AU176" i="7"/>
  <c r="AS176" i="7"/>
  <c r="I99" i="22"/>
  <c r="H100" i="22"/>
  <c r="H101" i="22" s="1"/>
  <c r="H103" i="22" s="1"/>
  <c r="T184" i="22"/>
  <c r="T186" i="22" s="1"/>
  <c r="T176" i="22"/>
  <c r="I63" i="22"/>
  <c r="H64" i="22"/>
  <c r="H65" i="22" s="1"/>
  <c r="H67" i="22" s="1"/>
  <c r="U172" i="22"/>
  <c r="U173" i="22" s="1"/>
  <c r="U175" i="22" s="1"/>
  <c r="S212" i="22"/>
  <c r="S220" i="22"/>
  <c r="S222" i="22" s="1"/>
  <c r="U207" i="22"/>
  <c r="T208" i="22"/>
  <c r="T209" i="22" s="1"/>
  <c r="T211" i="22" s="1"/>
  <c r="Y131" i="13"/>
  <c r="X131" i="13"/>
  <c r="E102" i="30"/>
  <c r="J21" i="1"/>
  <c r="G16" i="3"/>
  <c r="G17" i="3" s="1"/>
  <c r="H16" i="3"/>
  <c r="H17" i="3" s="1"/>
  <c r="D21" i="2"/>
  <c r="E21" i="2"/>
  <c r="F21" i="2"/>
  <c r="G21" i="2"/>
  <c r="H21" i="2"/>
  <c r="G9" i="2"/>
  <c r="F9" i="2"/>
  <c r="D9" i="2"/>
  <c r="E3" i="2"/>
  <c r="H97" i="1"/>
  <c r="G97" i="1"/>
  <c r="F97" i="1"/>
  <c r="E97" i="1"/>
  <c r="D15" i="2"/>
  <c r="H86" i="1"/>
  <c r="G86" i="1"/>
  <c r="F86" i="1"/>
  <c r="E86" i="1"/>
  <c r="E69" i="1"/>
  <c r="I68" i="1"/>
  <c r="G68" i="1"/>
  <c r="F68" i="1"/>
  <c r="E68" i="1"/>
  <c r="H67" i="1"/>
  <c r="G67" i="1"/>
  <c r="F67" i="1"/>
  <c r="E67" i="1"/>
  <c r="I32" i="1"/>
  <c r="G32" i="1"/>
  <c r="F32" i="1"/>
  <c r="H31" i="1"/>
  <c r="G31" i="1"/>
  <c r="F31" i="1"/>
  <c r="E31" i="1"/>
  <c r="F25" i="1"/>
  <c r="G25" i="1" s="1"/>
  <c r="H25" i="1" s="1"/>
  <c r="G23" i="1"/>
  <c r="H23" i="1" s="1"/>
  <c r="H11" i="1"/>
  <c r="G11" i="1"/>
  <c r="F11" i="1"/>
  <c r="E11" i="1"/>
  <c r="E3" i="1"/>
  <c r="AT18" i="7" l="1"/>
  <c r="W133" i="13"/>
  <c r="H135" i="22"/>
  <c r="AS18" i="7"/>
  <c r="AU18" i="7"/>
  <c r="D18" i="3"/>
  <c r="H76" i="22"/>
  <c r="H78" i="22" s="1"/>
  <c r="H68" i="22"/>
  <c r="J63" i="22"/>
  <c r="I64" i="22"/>
  <c r="I65" i="22" s="1"/>
  <c r="I67" i="22" s="1"/>
  <c r="J99" i="22"/>
  <c r="I100" i="22"/>
  <c r="I101" i="22" s="1"/>
  <c r="I103" i="22" s="1"/>
  <c r="U184" i="22"/>
  <c r="U186" i="22" s="1"/>
  <c r="U176" i="22"/>
  <c r="H112" i="22"/>
  <c r="H114" i="22" s="1"/>
  <c r="H104" i="22"/>
  <c r="T212" i="22"/>
  <c r="T220" i="22"/>
  <c r="T222" i="22" s="1"/>
  <c r="V207" i="22"/>
  <c r="U208" i="22"/>
  <c r="U209" i="22" s="1"/>
  <c r="U211" i="22" s="1"/>
  <c r="V172" i="22"/>
  <c r="V173" i="22" s="1"/>
  <c r="V175" i="22" s="1"/>
  <c r="E19" i="30"/>
  <c r="E21" i="30"/>
  <c r="F21" i="30" s="1"/>
  <c r="G21" i="30" s="1"/>
  <c r="H21" i="30" s="1"/>
  <c r="I21" i="30" s="1"/>
  <c r="J21" i="30" s="1"/>
  <c r="E17" i="30"/>
  <c r="I21" i="2"/>
  <c r="E13" i="30"/>
  <c r="F13" i="30" s="1"/>
  <c r="G13" i="30" s="1"/>
  <c r="H13" i="30" s="1"/>
  <c r="I13" i="30" s="1"/>
  <c r="J13" i="30" s="1"/>
  <c r="E11" i="2"/>
  <c r="D16" i="2"/>
  <c r="D13" i="2"/>
  <c r="E12" i="2"/>
  <c r="D10" i="2"/>
  <c r="G33" i="1"/>
  <c r="H33" i="1"/>
  <c r="F69" i="1"/>
  <c r="E10" i="2" s="1"/>
  <c r="F33" i="1"/>
  <c r="E15" i="2"/>
  <c r="G69" i="1"/>
  <c r="F10" i="2" s="1"/>
  <c r="I135" i="22" l="1"/>
  <c r="H136" i="22"/>
  <c r="H137" i="22" s="1"/>
  <c r="H139" i="22" s="1"/>
  <c r="X133" i="13"/>
  <c r="Y133" i="13"/>
  <c r="W207" i="22"/>
  <c r="V208" i="22"/>
  <c r="V209" i="22" s="1"/>
  <c r="V211" i="22" s="1"/>
  <c r="I76" i="22"/>
  <c r="I78" i="22" s="1"/>
  <c r="I68" i="22"/>
  <c r="K63" i="22"/>
  <c r="J64" i="22"/>
  <c r="J65" i="22" s="1"/>
  <c r="J67" i="22" s="1"/>
  <c r="W172" i="22"/>
  <c r="W173" i="22" s="1"/>
  <c r="W175" i="22" s="1"/>
  <c r="K99" i="22"/>
  <c r="J100" i="22"/>
  <c r="J101" i="22" s="1"/>
  <c r="J103" i="22" s="1"/>
  <c r="V184" i="22"/>
  <c r="V186" i="22" s="1"/>
  <c r="V176" i="22"/>
  <c r="U212" i="22"/>
  <c r="U220" i="22"/>
  <c r="U222" i="22" s="1"/>
  <c r="I112" i="22"/>
  <c r="I114" i="22" s="1"/>
  <c r="I104" i="22"/>
  <c r="E27" i="30"/>
  <c r="F27" i="30" s="1"/>
  <c r="G27" i="30" s="1"/>
  <c r="H27" i="30" s="1"/>
  <c r="I27" i="30" s="1"/>
  <c r="J27" i="30" s="1"/>
  <c r="F15" i="2"/>
  <c r="G13" i="2"/>
  <c r="F16" i="2"/>
  <c r="F13" i="2"/>
  <c r="F11" i="2"/>
  <c r="E16" i="2"/>
  <c r="E13" i="2"/>
  <c r="F12" i="2"/>
  <c r="G10" i="2"/>
  <c r="H148" i="22" l="1"/>
  <c r="H150" i="22" s="1"/>
  <c r="H140" i="22"/>
  <c r="I136" i="22"/>
  <c r="I137" i="22" s="1"/>
  <c r="I139" i="22" s="1"/>
  <c r="J135" i="22"/>
  <c r="J68" i="22"/>
  <c r="J76" i="22"/>
  <c r="J78" i="22" s="1"/>
  <c r="X207" i="22"/>
  <c r="W208" i="22"/>
  <c r="W209" i="22" s="1"/>
  <c r="W211" i="22" s="1"/>
  <c r="X172" i="22"/>
  <c r="X173" i="22" s="1"/>
  <c r="X175" i="22" s="1"/>
  <c r="V212" i="22"/>
  <c r="V220" i="22"/>
  <c r="V222" i="22" s="1"/>
  <c r="J112" i="22"/>
  <c r="J114" i="22" s="1"/>
  <c r="J104" i="22"/>
  <c r="L99" i="22"/>
  <c r="K100" i="22"/>
  <c r="K101" i="22" s="1"/>
  <c r="K103" i="22" s="1"/>
  <c r="L63" i="22"/>
  <c r="K64" i="22"/>
  <c r="K65" i="22" s="1"/>
  <c r="K67" i="22" s="1"/>
  <c r="W176" i="22"/>
  <c r="W184" i="22"/>
  <c r="W186" i="22" s="1"/>
  <c r="G12" i="2"/>
  <c r="G15" i="2"/>
  <c r="G11" i="2"/>
  <c r="G16" i="2"/>
  <c r="K135" i="22" l="1"/>
  <c r="J136" i="22"/>
  <c r="J137" i="22" s="1"/>
  <c r="J139" i="22" s="1"/>
  <c r="I140" i="22"/>
  <c r="I148" i="22"/>
  <c r="I150" i="22" s="1"/>
  <c r="K68" i="22"/>
  <c r="K76" i="22"/>
  <c r="K78" i="22" s="1"/>
  <c r="X176" i="22"/>
  <c r="X184" i="22"/>
  <c r="X186" i="22" s="1"/>
  <c r="Y172" i="22"/>
  <c r="Y173" i="22" s="1"/>
  <c r="Y175" i="22" s="1"/>
  <c r="M63" i="22"/>
  <c r="L64" i="22"/>
  <c r="L65" i="22" s="1"/>
  <c r="L67" i="22" s="1"/>
  <c r="K104" i="22"/>
  <c r="K112" i="22"/>
  <c r="K114" i="22" s="1"/>
  <c r="W220" i="22"/>
  <c r="W222" i="22" s="1"/>
  <c r="W212" i="22"/>
  <c r="M99" i="22"/>
  <c r="L100" i="22"/>
  <c r="L101" i="22" s="1"/>
  <c r="L103" i="22" s="1"/>
  <c r="Y207" i="22"/>
  <c r="X208" i="22"/>
  <c r="X209" i="22" s="1"/>
  <c r="X211" i="22" s="1"/>
  <c r="E15" i="30"/>
  <c r="F15" i="30" s="1"/>
  <c r="H15" i="2"/>
  <c r="H12" i="2"/>
  <c r="H16" i="2"/>
  <c r="H11" i="2"/>
  <c r="J140" i="22" l="1"/>
  <c r="J148" i="22"/>
  <c r="J150" i="22" s="1"/>
  <c r="L135" i="22"/>
  <c r="K136" i="22"/>
  <c r="K137" i="22" s="1"/>
  <c r="K139" i="22" s="1"/>
  <c r="N63" i="22"/>
  <c r="M64" i="22"/>
  <c r="M65" i="22" s="1"/>
  <c r="M67" i="22" s="1"/>
  <c r="N99" i="22"/>
  <c r="M100" i="22"/>
  <c r="M101" i="22" s="1"/>
  <c r="M103" i="22" s="1"/>
  <c r="X212" i="22"/>
  <c r="X220" i="22"/>
  <c r="X222" i="22" s="1"/>
  <c r="Y176" i="22"/>
  <c r="Y184" i="22"/>
  <c r="Y186" i="22" s="1"/>
  <c r="L104" i="22"/>
  <c r="L112" i="22"/>
  <c r="L114" i="22" s="1"/>
  <c r="Z207" i="22"/>
  <c r="Y208" i="22"/>
  <c r="Y209" i="22" s="1"/>
  <c r="Y211" i="22" s="1"/>
  <c r="L68" i="22"/>
  <c r="L76" i="22"/>
  <c r="L78" i="22" s="1"/>
  <c r="Z172" i="22"/>
  <c r="Z173" i="22" s="1"/>
  <c r="Z175" i="22" s="1"/>
  <c r="G15" i="30"/>
  <c r="E23" i="2" s="1"/>
  <c r="D23" i="2"/>
  <c r="L136" i="22" l="1"/>
  <c r="L137" i="22" s="1"/>
  <c r="L139" i="22" s="1"/>
  <c r="M135" i="22"/>
  <c r="K148" i="22"/>
  <c r="K150" i="22" s="1"/>
  <c r="K140" i="22"/>
  <c r="O99" i="22"/>
  <c r="N100" i="22"/>
  <c r="N101" i="22" s="1"/>
  <c r="N103" i="22" s="1"/>
  <c r="M104" i="22"/>
  <c r="M112" i="22"/>
  <c r="M114" i="22" s="1"/>
  <c r="Z176" i="22"/>
  <c r="Z184" i="22"/>
  <c r="Z186" i="22" s="1"/>
  <c r="Y212" i="22"/>
  <c r="Y220" i="22"/>
  <c r="Y222" i="22" s="1"/>
  <c r="M68" i="22"/>
  <c r="M76" i="22"/>
  <c r="M78" i="22" s="1"/>
  <c r="AA172" i="22"/>
  <c r="AA173" i="22" s="1"/>
  <c r="AA175" i="22" s="1"/>
  <c r="AA207" i="22"/>
  <c r="Z208" i="22"/>
  <c r="Z209" i="22" s="1"/>
  <c r="Z211" i="22" s="1"/>
  <c r="O63" i="22"/>
  <c r="N64" i="22"/>
  <c r="N65" i="22" s="1"/>
  <c r="N67" i="22" s="1"/>
  <c r="H15" i="30"/>
  <c r="F23" i="2" s="1"/>
  <c r="N135" i="22" l="1"/>
  <c r="M136" i="22"/>
  <c r="M137" i="22" s="1"/>
  <c r="M139" i="22" s="1"/>
  <c r="L140" i="22"/>
  <c r="L148" i="22"/>
  <c r="L150" i="22" s="1"/>
  <c r="P63" i="22"/>
  <c r="O64" i="22"/>
  <c r="O65" i="22" s="1"/>
  <c r="O67" i="22" s="1"/>
  <c r="D180" i="22"/>
  <c r="D16" i="24" s="1"/>
  <c r="P99" i="22"/>
  <c r="O100" i="22"/>
  <c r="O101" i="22" s="1"/>
  <c r="O103" i="22" s="1"/>
  <c r="Z220" i="22"/>
  <c r="Z222" i="22" s="1"/>
  <c r="Z212" i="22"/>
  <c r="AA208" i="22"/>
  <c r="AA209" i="22" s="1"/>
  <c r="AA211" i="22" s="1"/>
  <c r="N76" i="22"/>
  <c r="N78" i="22" s="1"/>
  <c r="N68" i="22"/>
  <c r="AA176" i="22"/>
  <c r="AA184" i="22"/>
  <c r="AA186" i="22" s="1"/>
  <c r="N112" i="22"/>
  <c r="N114" i="22" s="1"/>
  <c r="N104" i="22"/>
  <c r="I15" i="30"/>
  <c r="M140" i="22" l="1"/>
  <c r="M148" i="22"/>
  <c r="M150" i="22" s="1"/>
  <c r="O135" i="22"/>
  <c r="N136" i="22"/>
  <c r="N137" i="22" s="1"/>
  <c r="N139" i="22" s="1"/>
  <c r="D216" i="22"/>
  <c r="D17" i="24" s="1"/>
  <c r="Q99" i="22"/>
  <c r="P100" i="22"/>
  <c r="P101" i="22" s="1"/>
  <c r="P103" i="22" s="1"/>
  <c r="D178" i="22"/>
  <c r="C16" i="24" s="1"/>
  <c r="O76" i="22"/>
  <c r="O78" i="22" s="1"/>
  <c r="O68" i="22"/>
  <c r="AA220" i="22"/>
  <c r="AA222" i="22" s="1"/>
  <c r="AA212" i="22"/>
  <c r="O104" i="22"/>
  <c r="O112" i="22"/>
  <c r="O114" i="22" s="1"/>
  <c r="Q63" i="22"/>
  <c r="P64" i="22"/>
  <c r="P65" i="22" s="1"/>
  <c r="P67" i="22" s="1"/>
  <c r="G23" i="2"/>
  <c r="J15" i="30"/>
  <c r="P135" i="22" l="1"/>
  <c r="O136" i="22"/>
  <c r="O137" i="22" s="1"/>
  <c r="O139" i="22" s="1"/>
  <c r="N148" i="22"/>
  <c r="N150" i="22" s="1"/>
  <c r="N140" i="22"/>
  <c r="P104" i="22"/>
  <c r="P112" i="22"/>
  <c r="P114" i="22" s="1"/>
  <c r="R99" i="22"/>
  <c r="Q100" i="22"/>
  <c r="Q101" i="22" s="1"/>
  <c r="Q103" i="22" s="1"/>
  <c r="P76" i="22"/>
  <c r="P78" i="22" s="1"/>
  <c r="P68" i="22"/>
  <c r="R63" i="22"/>
  <c r="Q64" i="22"/>
  <c r="Q65" i="22" s="1"/>
  <c r="Q67" i="22" s="1"/>
  <c r="D214" i="22"/>
  <c r="C17" i="24" s="1"/>
  <c r="H23" i="2"/>
  <c r="V30" i="29"/>
  <c r="H30" i="29"/>
  <c r="X38" i="5"/>
  <c r="X38" i="6"/>
  <c r="O140" i="22" l="1"/>
  <c r="O148" i="22"/>
  <c r="O150" i="22" s="1"/>
  <c r="Q135" i="22"/>
  <c r="P136" i="22"/>
  <c r="P137" i="22" s="1"/>
  <c r="P139" i="22" s="1"/>
  <c r="S63" i="22"/>
  <c r="R64" i="22"/>
  <c r="R65" i="22" s="1"/>
  <c r="R67" i="22" s="1"/>
  <c r="S99" i="22"/>
  <c r="R100" i="22"/>
  <c r="R101" i="22" s="1"/>
  <c r="R103" i="22" s="1"/>
  <c r="Q104" i="22"/>
  <c r="Q112" i="22"/>
  <c r="Q114" i="22" s="1"/>
  <c r="X62" i="6"/>
  <c r="R64" i="7" s="1"/>
  <c r="W64" i="7" s="1"/>
  <c r="Q68" i="22"/>
  <c r="Q76" i="22"/>
  <c r="Q78" i="22" s="1"/>
  <c r="AA38" i="5"/>
  <c r="AW38" i="5"/>
  <c r="AM38" i="6"/>
  <c r="Y38" i="6"/>
  <c r="R40" i="7" s="1"/>
  <c r="W40" i="7" s="1"/>
  <c r="Y38" i="29"/>
  <c r="Y61" i="5"/>
  <c r="P140" i="22" l="1"/>
  <c r="P148" i="22"/>
  <c r="P150" i="22" s="1"/>
  <c r="R135" i="22"/>
  <c r="Q136" i="22"/>
  <c r="Q137" i="22" s="1"/>
  <c r="Q139" i="22" s="1"/>
  <c r="Y62" i="6"/>
  <c r="AB62" i="6" s="1"/>
  <c r="T99" i="22"/>
  <c r="S100" i="22"/>
  <c r="S101" i="22" s="1"/>
  <c r="S103" i="22" s="1"/>
  <c r="T63" i="22"/>
  <c r="S64" i="22"/>
  <c r="S65" i="22" s="1"/>
  <c r="S67" i="22" s="1"/>
  <c r="R104" i="22"/>
  <c r="R112" i="22"/>
  <c r="R114" i="22" s="1"/>
  <c r="AM62" i="6"/>
  <c r="R76" i="22"/>
  <c r="R78" i="22" s="1"/>
  <c r="R68" i="22"/>
  <c r="I155" i="26"/>
  <c r="X61" i="5"/>
  <c r="T40" i="7"/>
  <c r="AF38" i="5"/>
  <c r="AB38" i="5"/>
  <c r="X38" i="29"/>
  <c r="Y61" i="29"/>
  <c r="AB38" i="6"/>
  <c r="Z38" i="6"/>
  <c r="Z62" i="6" l="1"/>
  <c r="Q148" i="22"/>
  <c r="Q150" i="22" s="1"/>
  <c r="Q140" i="22"/>
  <c r="S135" i="22"/>
  <c r="R136" i="22"/>
  <c r="R137" i="22" s="1"/>
  <c r="R139" i="22" s="1"/>
  <c r="S112" i="22"/>
  <c r="S114" i="22" s="1"/>
  <c r="S104" i="22"/>
  <c r="U99" i="22"/>
  <c r="T100" i="22"/>
  <c r="T101" i="22" s="1"/>
  <c r="T103" i="22" s="1"/>
  <c r="S68" i="22"/>
  <c r="S76" i="22"/>
  <c r="S78" i="22" s="1"/>
  <c r="U63" i="22"/>
  <c r="T64" i="22"/>
  <c r="T65" i="22" s="1"/>
  <c r="T67" i="22" s="1"/>
  <c r="X64" i="7"/>
  <c r="X40" i="7"/>
  <c r="AC40" i="7" s="1"/>
  <c r="AE38" i="6"/>
  <c r="AC38" i="6"/>
  <c r="X61" i="29"/>
  <c r="AG38" i="5"/>
  <c r="AK38" i="5"/>
  <c r="AA61" i="5"/>
  <c r="AW61" i="5"/>
  <c r="AA38" i="29"/>
  <c r="AW38" i="29"/>
  <c r="AC62" i="6"/>
  <c r="AE62" i="6"/>
  <c r="AM19" i="6"/>
  <c r="I80" i="18"/>
  <c r="U40" i="7"/>
  <c r="R148" i="22" l="1"/>
  <c r="R150" i="22" s="1"/>
  <c r="R140" i="22"/>
  <c r="S136" i="22"/>
  <c r="S137" i="22" s="1"/>
  <c r="S139" i="22" s="1"/>
  <c r="T135" i="22"/>
  <c r="V63" i="22"/>
  <c r="U64" i="22"/>
  <c r="U65" i="22" s="1"/>
  <c r="U67" i="22" s="1"/>
  <c r="AC64" i="7"/>
  <c r="AD64" i="7" s="1"/>
  <c r="AI64" i="7" s="1"/>
  <c r="Z64" i="7"/>
  <c r="T112" i="22"/>
  <c r="T114" i="22" s="1"/>
  <c r="T104" i="22"/>
  <c r="T76" i="22"/>
  <c r="T78" i="22" s="1"/>
  <c r="T68" i="22"/>
  <c r="V99" i="22"/>
  <c r="U100" i="22"/>
  <c r="U101" i="22" s="1"/>
  <c r="U103" i="22" s="1"/>
  <c r="V15" i="7"/>
  <c r="G109" i="30"/>
  <c r="G99" i="30" s="1"/>
  <c r="H109" i="30"/>
  <c r="H99" i="30" s="1"/>
  <c r="AB15" i="7"/>
  <c r="T64" i="7"/>
  <c r="I109" i="30"/>
  <c r="I99" i="30" s="1"/>
  <c r="AH15" i="7"/>
  <c r="AN15" i="7"/>
  <c r="J109" i="30"/>
  <c r="J99" i="30" s="1"/>
  <c r="AD40" i="7"/>
  <c r="AI40" i="7" s="1"/>
  <c r="AF61" i="5"/>
  <c r="AB61" i="5"/>
  <c r="AP38" i="5"/>
  <c r="AL38" i="5"/>
  <c r="AA61" i="29"/>
  <c r="AW61" i="29"/>
  <c r="AB19" i="6"/>
  <c r="Q19" i="13" s="1"/>
  <c r="P19" i="13"/>
  <c r="Z19" i="6"/>
  <c r="Z40" i="7"/>
  <c r="AH62" i="6"/>
  <c r="AF62" i="6"/>
  <c r="AB38" i="29"/>
  <c r="AF38" i="29"/>
  <c r="AH38" i="6"/>
  <c r="AF38" i="6"/>
  <c r="U135" i="22" l="1"/>
  <c r="T136" i="22"/>
  <c r="T137" i="22" s="1"/>
  <c r="T139" i="22" s="1"/>
  <c r="S140" i="22"/>
  <c r="S148" i="22"/>
  <c r="S150" i="22" s="1"/>
  <c r="W99" i="22"/>
  <c r="V100" i="22"/>
  <c r="V101" i="22" s="1"/>
  <c r="V103" i="22" s="1"/>
  <c r="U76" i="22"/>
  <c r="U78" i="22" s="1"/>
  <c r="U68" i="22"/>
  <c r="W63" i="22"/>
  <c r="V64" i="22"/>
  <c r="V65" i="22" s="1"/>
  <c r="V67" i="22" s="1"/>
  <c r="U112" i="22"/>
  <c r="U114" i="22" s="1"/>
  <c r="U104" i="22"/>
  <c r="U64" i="7"/>
  <c r="AJ64" i="7"/>
  <c r="AO64" i="7" s="1"/>
  <c r="AK38" i="6"/>
  <c r="AI38" i="6"/>
  <c r="AK38" i="29"/>
  <c r="AG38" i="29"/>
  <c r="AF64" i="7"/>
  <c r="P134" i="13"/>
  <c r="AA40" i="7"/>
  <c r="AF61" i="29"/>
  <c r="AB61" i="29"/>
  <c r="AF40" i="7"/>
  <c r="I17" i="18"/>
  <c r="I38" i="18"/>
  <c r="I59" i="18"/>
  <c r="AU38" i="5"/>
  <c r="AQ38" i="5"/>
  <c r="AK61" i="5"/>
  <c r="AG61" i="5"/>
  <c r="AJ40" i="7"/>
  <c r="AO40" i="7" s="1"/>
  <c r="AK62" i="6"/>
  <c r="AI62" i="6"/>
  <c r="AE19" i="6"/>
  <c r="R19" i="13"/>
  <c r="AC19" i="6"/>
  <c r="I61" i="18"/>
  <c r="AA64" i="7"/>
  <c r="T148" i="22" l="1"/>
  <c r="T150" i="22" s="1"/>
  <c r="T140" i="22"/>
  <c r="V135" i="22"/>
  <c r="U136" i="22"/>
  <c r="U137" i="22" s="1"/>
  <c r="U139" i="22" s="1"/>
  <c r="X99" i="22"/>
  <c r="W100" i="22"/>
  <c r="W101" i="22" s="1"/>
  <c r="W103" i="22" s="1"/>
  <c r="V68" i="22"/>
  <c r="V76" i="22"/>
  <c r="V78" i="22" s="1"/>
  <c r="X63" i="22"/>
  <c r="W64" i="22"/>
  <c r="W65" i="22" s="1"/>
  <c r="W67" i="22" s="1"/>
  <c r="V112" i="22"/>
  <c r="V114" i="22" s="1"/>
  <c r="V104" i="22"/>
  <c r="AL62" i="6"/>
  <c r="AN62" i="6"/>
  <c r="AG40" i="7"/>
  <c r="AG61" i="29"/>
  <c r="AK61" i="29"/>
  <c r="AP40" i="7"/>
  <c r="S19" i="13"/>
  <c r="T19" i="13" s="1"/>
  <c r="AF19" i="6"/>
  <c r="AH19" i="6"/>
  <c r="AP64" i="7"/>
  <c r="P160" i="13"/>
  <c r="P91" i="13"/>
  <c r="AL40" i="7"/>
  <c r="AX38" i="5"/>
  <c r="AV38" i="5"/>
  <c r="AG64" i="7"/>
  <c r="AL38" i="6"/>
  <c r="AN38" i="6"/>
  <c r="AL64" i="7"/>
  <c r="AL61" i="5"/>
  <c r="AP61" i="5"/>
  <c r="AL38" i="29"/>
  <c r="AP38" i="29"/>
  <c r="U148" i="22" l="1"/>
  <c r="U150" i="22" s="1"/>
  <c r="U140" i="22"/>
  <c r="W135" i="22"/>
  <c r="V136" i="22"/>
  <c r="V137" i="22" s="1"/>
  <c r="V139" i="22" s="1"/>
  <c r="W104" i="22"/>
  <c r="W112" i="22"/>
  <c r="W114" i="22" s="1"/>
  <c r="W68" i="22"/>
  <c r="W76" i="22"/>
  <c r="W78" i="22" s="1"/>
  <c r="Y99" i="22"/>
  <c r="X100" i="22"/>
  <c r="X101" i="22" s="1"/>
  <c r="X103" i="22" s="1"/>
  <c r="Y63" i="22"/>
  <c r="X64" i="22"/>
  <c r="X65" i="22" s="1"/>
  <c r="X67" i="22" s="1"/>
  <c r="AK19" i="6"/>
  <c r="U19" i="13"/>
  <c r="V19" i="13" s="1"/>
  <c r="AI19" i="6"/>
  <c r="AM40" i="7"/>
  <c r="AL61" i="29"/>
  <c r="AP61" i="29"/>
  <c r="AU38" i="29"/>
  <c r="AQ38" i="29"/>
  <c r="AQ61" i="5"/>
  <c r="AU61" i="5"/>
  <c r="AM64" i="7"/>
  <c r="AA19" i="7"/>
  <c r="R134" i="13"/>
  <c r="AR64" i="7"/>
  <c r="AT64" i="7" s="1"/>
  <c r="R91" i="13"/>
  <c r="AR40" i="7"/>
  <c r="V148" i="22" l="1"/>
  <c r="V150" i="22" s="1"/>
  <c r="V140" i="22"/>
  <c r="X135" i="22"/>
  <c r="W136" i="22"/>
  <c r="W137" i="22" s="1"/>
  <c r="W139" i="22" s="1"/>
  <c r="X68" i="22"/>
  <c r="X76" i="22"/>
  <c r="X78" i="22" s="1"/>
  <c r="Z63" i="22"/>
  <c r="Y64" i="22"/>
  <c r="Y65" i="22" s="1"/>
  <c r="Y67" i="22" s="1"/>
  <c r="X112" i="22"/>
  <c r="X114" i="22" s="1"/>
  <c r="X104" i="22"/>
  <c r="Z99" i="22"/>
  <c r="Y100" i="22"/>
  <c r="Y101" i="22" s="1"/>
  <c r="Y103" i="22" s="1"/>
  <c r="AS40" i="7"/>
  <c r="AU40" i="7"/>
  <c r="AT40" i="7"/>
  <c r="AX61" i="5"/>
  <c r="AV61" i="5"/>
  <c r="AX38" i="29"/>
  <c r="AV38" i="29"/>
  <c r="T91" i="13"/>
  <c r="S134" i="13"/>
  <c r="T134" i="13" s="1"/>
  <c r="AG19" i="7"/>
  <c r="W19" i="13"/>
  <c r="AN19" i="6"/>
  <c r="AL19" i="6"/>
  <c r="AS64" i="7"/>
  <c r="AU64" i="7"/>
  <c r="AU61" i="29"/>
  <c r="AQ61" i="29"/>
  <c r="I37" i="18"/>
  <c r="I121" i="18"/>
  <c r="W140" i="22" l="1"/>
  <c r="W148" i="22"/>
  <c r="W150" i="22" s="1"/>
  <c r="Y135" i="22"/>
  <c r="X136" i="22"/>
  <c r="X137" i="22" s="1"/>
  <c r="X139" i="22" s="1"/>
  <c r="Y68" i="22"/>
  <c r="Y76" i="22"/>
  <c r="Y78" i="22" s="1"/>
  <c r="AA63" i="22"/>
  <c r="Z64" i="22"/>
  <c r="Z65" i="22" s="1"/>
  <c r="Z67" i="22" s="1"/>
  <c r="Y104" i="22"/>
  <c r="Y112" i="22"/>
  <c r="Y114" i="22" s="1"/>
  <c r="AA99" i="22"/>
  <c r="Z100" i="22"/>
  <c r="Z101" i="22" s="1"/>
  <c r="Z103" i="22" s="1"/>
  <c r="X19" i="13"/>
  <c r="Y19" i="13"/>
  <c r="V91" i="13"/>
  <c r="AM19" i="7"/>
  <c r="U134" i="13"/>
  <c r="V134" i="13" s="1"/>
  <c r="AV61" i="29"/>
  <c r="AX61" i="29"/>
  <c r="Z135" i="22" l="1"/>
  <c r="Y136" i="22"/>
  <c r="Y137" i="22" s="1"/>
  <c r="Y139" i="22" s="1"/>
  <c r="X148" i="22"/>
  <c r="X150" i="22" s="1"/>
  <c r="X140" i="22"/>
  <c r="AA100" i="22"/>
  <c r="AA101" i="22" s="1"/>
  <c r="AA103" i="22" s="1"/>
  <c r="Z76" i="22"/>
  <c r="Z78" i="22" s="1"/>
  <c r="Z68" i="22"/>
  <c r="AA64" i="22"/>
  <c r="AA65" i="22" s="1"/>
  <c r="AA67" i="22" s="1"/>
  <c r="Z112" i="22"/>
  <c r="Z114" i="22" s="1"/>
  <c r="Z104" i="22"/>
  <c r="AS19" i="7"/>
  <c r="W134" i="13"/>
  <c r="AU19" i="7"/>
  <c r="Y140" i="22" l="1"/>
  <c r="Y148" i="22"/>
  <c r="Y150" i="22" s="1"/>
  <c r="AA135" i="22"/>
  <c r="AA136" i="22" s="1"/>
  <c r="AA137" i="22" s="1"/>
  <c r="AA139" i="22" s="1"/>
  <c r="AA148" i="22" s="1"/>
  <c r="Z136" i="22"/>
  <c r="Z137" i="22" s="1"/>
  <c r="Z139" i="22" s="1"/>
  <c r="D108" i="22"/>
  <c r="D14" i="24" s="1"/>
  <c r="AA76" i="22"/>
  <c r="AA78" i="22" s="1"/>
  <c r="AA68" i="22"/>
  <c r="D72" i="22"/>
  <c r="D13" i="24" s="1"/>
  <c r="AA104" i="22"/>
  <c r="AA112" i="22"/>
  <c r="AA114" i="22" s="1"/>
  <c r="Y134" i="13"/>
  <c r="X134" i="13"/>
  <c r="X91" i="13"/>
  <c r="Y91" i="13"/>
  <c r="D144" i="22" l="1"/>
  <c r="D15" i="24" s="1"/>
  <c r="AA140" i="22"/>
  <c r="Z148" i="22"/>
  <c r="Z150" i="22" s="1"/>
  <c r="AA150" i="22" s="1"/>
  <c r="Z140" i="22"/>
  <c r="D70" i="22"/>
  <c r="C13" i="24" s="1"/>
  <c r="D106" i="22"/>
  <c r="C14" i="24" s="1"/>
  <c r="D142" i="22" l="1"/>
  <c r="C15" i="24" s="1"/>
  <c r="X84" i="4"/>
  <c r="D96" i="27" s="1"/>
  <c r="I73" i="26"/>
  <c r="I89" i="26" s="1"/>
  <c r="Y107" i="5"/>
  <c r="X109" i="6"/>
  <c r="I53" i="26"/>
  <c r="Y84" i="5"/>
  <c r="X86" i="6"/>
  <c r="Y14" i="5" l="1"/>
  <c r="Y30" i="5" s="1"/>
  <c r="I61" i="26"/>
  <c r="I69" i="26" s="1"/>
  <c r="D41" i="26"/>
  <c r="D49" i="26" s="1"/>
  <c r="X92" i="4"/>
  <c r="D104" i="27" s="1"/>
  <c r="D20" i="27" s="1"/>
  <c r="D28" i="27" s="1"/>
  <c r="Y46" i="6"/>
  <c r="R48" i="7" s="1"/>
  <c r="X94" i="6"/>
  <c r="Y94" i="6" s="1"/>
  <c r="I21" i="26"/>
  <c r="Z92" i="5"/>
  <c r="Z22" i="5" s="1"/>
  <c r="AB14" i="9"/>
  <c r="AF14" i="9" s="1"/>
  <c r="F141" i="30"/>
  <c r="I183" i="26"/>
  <c r="I151" i="26"/>
  <c r="I143" i="26"/>
  <c r="Z46" i="29"/>
  <c r="Z69" i="5"/>
  <c r="X46" i="5"/>
  <c r="Y107" i="29"/>
  <c r="X107" i="5"/>
  <c r="I195" i="26"/>
  <c r="R112" i="7"/>
  <c r="AM109" i="6"/>
  <c r="Y109" i="6"/>
  <c r="Y84" i="29"/>
  <c r="X84" i="5"/>
  <c r="AM84" i="4"/>
  <c r="Y84" i="4"/>
  <c r="R88" i="7"/>
  <c r="AM86" i="6"/>
  <c r="Y86" i="6"/>
  <c r="X14" i="6"/>
  <c r="D75" i="18" s="1"/>
  <c r="I175" i="26"/>
  <c r="AM94" i="6" l="1"/>
  <c r="R96" i="7"/>
  <c r="T96" i="7" s="1"/>
  <c r="AJ14" i="9"/>
  <c r="Z92" i="29"/>
  <c r="X92" i="5"/>
  <c r="X22" i="5" s="1"/>
  <c r="I104" i="18" s="1"/>
  <c r="AM46" i="6"/>
  <c r="Y92" i="4"/>
  <c r="Z92" i="4" s="1"/>
  <c r="X14" i="5"/>
  <c r="X70" i="6"/>
  <c r="AM70" i="6" s="1"/>
  <c r="W48" i="7"/>
  <c r="I191" i="26"/>
  <c r="X22" i="6"/>
  <c r="I41" i="26"/>
  <c r="I49" i="26" s="1"/>
  <c r="F140" i="30"/>
  <c r="F139" i="30" s="1"/>
  <c r="AB22" i="9"/>
  <c r="AM92" i="4"/>
  <c r="I104" i="27"/>
  <c r="F18" i="30"/>
  <c r="F19" i="30" s="1"/>
  <c r="G19" i="30" s="1"/>
  <c r="H19" i="30" s="1"/>
  <c r="I19" i="30" s="1"/>
  <c r="J19" i="30" s="1"/>
  <c r="AM69" i="4"/>
  <c r="AB94" i="6"/>
  <c r="Z94" i="6"/>
  <c r="W96" i="7"/>
  <c r="X96" i="7" s="1"/>
  <c r="K71" i="30"/>
  <c r="AA46" i="5"/>
  <c r="AW46" i="5"/>
  <c r="F35" i="30"/>
  <c r="Y22" i="6"/>
  <c r="Y30" i="6" s="1"/>
  <c r="Z46" i="6"/>
  <c r="AB46" i="6"/>
  <c r="Z54" i="6"/>
  <c r="I163" i="26"/>
  <c r="I171" i="26"/>
  <c r="X69" i="5"/>
  <c r="Z30" i="5"/>
  <c r="Z69" i="29"/>
  <c r="X46" i="29"/>
  <c r="K77" i="30"/>
  <c r="X107" i="29"/>
  <c r="T112" i="7"/>
  <c r="F119" i="30"/>
  <c r="F118" i="30" s="1"/>
  <c r="Z125" i="6"/>
  <c r="AB109" i="6"/>
  <c r="Z109" i="6"/>
  <c r="F41" i="30"/>
  <c r="AW107" i="5"/>
  <c r="AA107" i="5"/>
  <c r="AM14" i="6"/>
  <c r="I75" i="18"/>
  <c r="W88" i="7"/>
  <c r="T88" i="7"/>
  <c r="F114" i="30"/>
  <c r="R15" i="7"/>
  <c r="Z84" i="4"/>
  <c r="AB84" i="4"/>
  <c r="AW84" i="5"/>
  <c r="AA84" i="5"/>
  <c r="AB86" i="6"/>
  <c r="Z86" i="6"/>
  <c r="Z102" i="6"/>
  <c r="Y14" i="6"/>
  <c r="K75" i="30"/>
  <c r="I96" i="27"/>
  <c r="X84" i="29"/>
  <c r="Y14" i="29"/>
  <c r="Y61" i="4"/>
  <c r="AM61" i="4"/>
  <c r="D83" i="18" l="1"/>
  <c r="I83" i="18" s="1"/>
  <c r="X30" i="6"/>
  <c r="AA92" i="5"/>
  <c r="Z22" i="29"/>
  <c r="AW92" i="5"/>
  <c r="F39" i="30"/>
  <c r="K39" i="30" s="1"/>
  <c r="X92" i="29"/>
  <c r="F57" i="30" s="1"/>
  <c r="AB92" i="4"/>
  <c r="Z100" i="4"/>
  <c r="D91" i="18"/>
  <c r="I91" i="18" s="1"/>
  <c r="Y70" i="6"/>
  <c r="AB70" i="6" s="1"/>
  <c r="R72" i="7"/>
  <c r="W72" i="7" s="1"/>
  <c r="G110" i="30" s="1"/>
  <c r="G108" i="30" s="1"/>
  <c r="G112" i="30" s="1"/>
  <c r="T48" i="7"/>
  <c r="U48" i="7" s="1"/>
  <c r="AN14" i="9"/>
  <c r="F104" i="30"/>
  <c r="F103" i="30" s="1"/>
  <c r="F107" i="30" s="1"/>
  <c r="AM22" i="6"/>
  <c r="AM30" i="6" s="1"/>
  <c r="O22" i="13"/>
  <c r="P22" i="13" s="1"/>
  <c r="K18" i="30"/>
  <c r="F167" i="30"/>
  <c r="K167" i="30" s="1"/>
  <c r="F16" i="30"/>
  <c r="K16" i="30" s="1"/>
  <c r="I83" i="27"/>
  <c r="Y69" i="4"/>
  <c r="Z69" i="4" s="1"/>
  <c r="AC96" i="7"/>
  <c r="AD96" i="7" s="1"/>
  <c r="Z96" i="7"/>
  <c r="AA96" i="7" s="1"/>
  <c r="AF92" i="5"/>
  <c r="AB92" i="5"/>
  <c r="AC94" i="6"/>
  <c r="AE94" i="6"/>
  <c r="U96" i="7"/>
  <c r="AW69" i="5"/>
  <c r="AA69" i="5"/>
  <c r="AA22" i="5" s="1"/>
  <c r="O92" i="13" s="1"/>
  <c r="F37" i="30"/>
  <c r="K73" i="30"/>
  <c r="X48" i="7"/>
  <c r="G105" i="30"/>
  <c r="AC46" i="6"/>
  <c r="AE46" i="6"/>
  <c r="AC54" i="6"/>
  <c r="AW46" i="29"/>
  <c r="AA46" i="29"/>
  <c r="F53" i="30"/>
  <c r="AF46" i="5"/>
  <c r="AB46" i="5"/>
  <c r="AB54" i="5"/>
  <c r="X69" i="29"/>
  <c r="Z22" i="6"/>
  <c r="AB22" i="6"/>
  <c r="AB30" i="6" s="1"/>
  <c r="F36" i="30"/>
  <c r="G36" i="30" s="1"/>
  <c r="H36" i="30" s="1"/>
  <c r="I36" i="30" s="1"/>
  <c r="J36" i="30" s="1"/>
  <c r="K35" i="30"/>
  <c r="U112" i="7"/>
  <c r="U128" i="7"/>
  <c r="W112" i="7"/>
  <c r="W15" i="7" s="1"/>
  <c r="F59" i="30"/>
  <c r="AW107" i="29"/>
  <c r="AA107" i="29"/>
  <c r="AB107" i="5"/>
  <c r="AF107" i="5"/>
  <c r="AB123" i="5"/>
  <c r="K41" i="30"/>
  <c r="F42" i="30"/>
  <c r="G42" i="30" s="1"/>
  <c r="H42" i="30" s="1"/>
  <c r="I42" i="30" s="1"/>
  <c r="J42" i="30" s="1"/>
  <c r="AC125" i="6"/>
  <c r="AE109" i="6"/>
  <c r="AC109" i="6"/>
  <c r="F122" i="30"/>
  <c r="I75" i="27"/>
  <c r="D12" i="27"/>
  <c r="F113" i="30"/>
  <c r="AW84" i="29"/>
  <c r="AA84" i="29"/>
  <c r="X14" i="29"/>
  <c r="U104" i="7"/>
  <c r="U88" i="7"/>
  <c r="T15" i="7"/>
  <c r="AE86" i="6"/>
  <c r="AC86" i="6"/>
  <c r="AC102" i="6"/>
  <c r="X30" i="5"/>
  <c r="D96" i="18"/>
  <c r="I96" i="18" s="1"/>
  <c r="AW14" i="5"/>
  <c r="AC84" i="4"/>
  <c r="AE84" i="4"/>
  <c r="X88" i="7"/>
  <c r="G115" i="30"/>
  <c r="Z61" i="4"/>
  <c r="AB61" i="4"/>
  <c r="D30" i="2"/>
  <c r="K69" i="30"/>
  <c r="I30" i="2" s="1"/>
  <c r="O14" i="13"/>
  <c r="P14" i="13" s="1"/>
  <c r="Z14" i="6"/>
  <c r="AB14" i="6"/>
  <c r="Q14" i="13" s="1"/>
  <c r="AF84" i="5"/>
  <c r="AB84" i="5"/>
  <c r="AB100" i="5"/>
  <c r="AA14" i="5"/>
  <c r="D27" i="22"/>
  <c r="D28" i="22" s="1"/>
  <c r="D29" i="22" s="1"/>
  <c r="D117" i="18"/>
  <c r="Q22" i="13" l="1"/>
  <c r="R22" i="13" s="1"/>
  <c r="R23" i="7"/>
  <c r="D125" i="18" s="1"/>
  <c r="AA92" i="29"/>
  <c r="F40" i="30"/>
  <c r="F33" i="30"/>
  <c r="F34" i="30" s="1"/>
  <c r="G34" i="30" s="1"/>
  <c r="H34" i="30" s="1"/>
  <c r="I34" i="30" s="1"/>
  <c r="J34" i="30" s="1"/>
  <c r="AW92" i="29"/>
  <c r="AC100" i="4"/>
  <c r="X22" i="29"/>
  <c r="AW22" i="29" s="1"/>
  <c r="Z78" i="6"/>
  <c r="Z70" i="6"/>
  <c r="AE92" i="4"/>
  <c r="AF92" i="4" s="1"/>
  <c r="AC92" i="4"/>
  <c r="U56" i="7"/>
  <c r="F109" i="30"/>
  <c r="F108" i="30" s="1"/>
  <c r="F112" i="30" s="1"/>
  <c r="T72" i="7"/>
  <c r="T23" i="7" s="1"/>
  <c r="Z77" i="4"/>
  <c r="AJ30" i="9"/>
  <c r="AR14" i="9"/>
  <c r="X72" i="7"/>
  <c r="Z72" i="7" s="1"/>
  <c r="D41" i="18"/>
  <c r="G103" i="30"/>
  <c r="G107" i="30" s="1"/>
  <c r="G88" i="30" s="1"/>
  <c r="F51" i="30"/>
  <c r="F52" i="30" s="1"/>
  <c r="G52" i="30" s="1"/>
  <c r="H52" i="30" s="1"/>
  <c r="I52" i="30" s="1"/>
  <c r="J52" i="30" s="1"/>
  <c r="F166" i="30"/>
  <c r="F17" i="30"/>
  <c r="G17" i="30" s="1"/>
  <c r="H17" i="30" s="1"/>
  <c r="I17" i="30" s="1"/>
  <c r="J17" i="30" s="1"/>
  <c r="AB69" i="4"/>
  <c r="AC69" i="4" s="1"/>
  <c r="AK92" i="5"/>
  <c r="AG92" i="5"/>
  <c r="AF92" i="29"/>
  <c r="AB92" i="29"/>
  <c r="AF94" i="6"/>
  <c r="AH94" i="6"/>
  <c r="AI96" i="7"/>
  <c r="AJ96" i="7" s="1"/>
  <c r="AF96" i="7"/>
  <c r="AG96" i="7" s="1"/>
  <c r="AW69" i="29"/>
  <c r="AA69" i="29"/>
  <c r="F55" i="30"/>
  <c r="K53" i="30"/>
  <c r="F54" i="30"/>
  <c r="G54" i="30" s="1"/>
  <c r="H54" i="30" s="1"/>
  <c r="I54" i="30" s="1"/>
  <c r="J54" i="30" s="1"/>
  <c r="Z48" i="7"/>
  <c r="AC48" i="7"/>
  <c r="AE22" i="6"/>
  <c r="AE30" i="6" s="1"/>
  <c r="AC22" i="6"/>
  <c r="AG46" i="5"/>
  <c r="AK46" i="5"/>
  <c r="AG54" i="5"/>
  <c r="AF46" i="29"/>
  <c r="AB46" i="29"/>
  <c r="AA22" i="29"/>
  <c r="AB22" i="29" s="1"/>
  <c r="AB54" i="29"/>
  <c r="AC70" i="6"/>
  <c r="AE70" i="6"/>
  <c r="AF46" i="6"/>
  <c r="AH46" i="6"/>
  <c r="AF54" i="6"/>
  <c r="W23" i="7"/>
  <c r="W31" i="7" s="1"/>
  <c r="AW22" i="5"/>
  <c r="AW30" i="5" s="1"/>
  <c r="F88" i="30"/>
  <c r="K37" i="30"/>
  <c r="F38" i="30"/>
  <c r="G38" i="30" s="1"/>
  <c r="H38" i="30" s="1"/>
  <c r="I38" i="30" s="1"/>
  <c r="J38" i="30" s="1"/>
  <c r="P92" i="13"/>
  <c r="O161" i="13"/>
  <c r="AB22" i="5"/>
  <c r="AF69" i="5"/>
  <c r="AF22" i="5" s="1"/>
  <c r="AB69" i="5"/>
  <c r="AB77" i="5"/>
  <c r="G89" i="30"/>
  <c r="AF125" i="6"/>
  <c r="AF109" i="6"/>
  <c r="AH109" i="6"/>
  <c r="AB123" i="29"/>
  <c r="AB107" i="29"/>
  <c r="AF107" i="29"/>
  <c r="X112" i="7"/>
  <c r="X15" i="7" s="1"/>
  <c r="G120" i="30"/>
  <c r="G118" i="30" s="1"/>
  <c r="F91" i="30"/>
  <c r="AK107" i="5"/>
  <c r="AG123" i="5"/>
  <c r="AG107" i="5"/>
  <c r="F60" i="30"/>
  <c r="G60" i="30" s="1"/>
  <c r="H60" i="30" s="1"/>
  <c r="I60" i="30" s="1"/>
  <c r="J60" i="30" s="1"/>
  <c r="K59" i="30"/>
  <c r="AC88" i="7"/>
  <c r="Z88" i="7"/>
  <c r="AF86" i="6"/>
  <c r="AH86" i="6"/>
  <c r="AF102" i="6"/>
  <c r="O30" i="13"/>
  <c r="P30" i="13" s="1"/>
  <c r="Z30" i="6"/>
  <c r="I103" i="18"/>
  <c r="D112" i="18"/>
  <c r="I112" i="18" s="1"/>
  <c r="F58" i="30"/>
  <c r="K57" i="30"/>
  <c r="G40" i="30"/>
  <c r="D20" i="22"/>
  <c r="I12" i="27"/>
  <c r="D54" i="18"/>
  <c r="I54" i="18" s="1"/>
  <c r="D12" i="18"/>
  <c r="I12" i="18" s="1"/>
  <c r="D33" i="18"/>
  <c r="AK84" i="5"/>
  <c r="AG84" i="5"/>
  <c r="AG100" i="5"/>
  <c r="AF14" i="5"/>
  <c r="AW14" i="29"/>
  <c r="AA30" i="5"/>
  <c r="O153" i="13"/>
  <c r="P153" i="13" s="1"/>
  <c r="AB14" i="5"/>
  <c r="O84" i="13" s="1"/>
  <c r="P84" i="13" s="1"/>
  <c r="AE14" i="6"/>
  <c r="R14" i="13"/>
  <c r="AC14" i="6"/>
  <c r="AE61" i="4"/>
  <c r="AC61" i="4"/>
  <c r="G113" i="30"/>
  <c r="AH84" i="4"/>
  <c r="AF100" i="4"/>
  <c r="AF84" i="4"/>
  <c r="O130" i="13"/>
  <c r="P130" i="13" s="1"/>
  <c r="AB84" i="29"/>
  <c r="AF84" i="29"/>
  <c r="AB100" i="29"/>
  <c r="AA14" i="29"/>
  <c r="F117" i="30"/>
  <c r="D315" i="22" l="1"/>
  <c r="D316" i="22" s="1"/>
  <c r="T31" i="7"/>
  <c r="R31" i="7"/>
  <c r="D133" i="18" s="1"/>
  <c r="D31" i="2"/>
  <c r="K33" i="30"/>
  <c r="I31" i="2" s="1"/>
  <c r="AC78" i="6"/>
  <c r="U80" i="7"/>
  <c r="O138" i="13"/>
  <c r="P138" i="13" s="1"/>
  <c r="F98" i="30"/>
  <c r="D32" i="2" s="1"/>
  <c r="U72" i="7"/>
  <c r="X23" i="7"/>
  <c r="E125" i="18" s="1"/>
  <c r="U31" i="7"/>
  <c r="AH92" i="4"/>
  <c r="AK92" i="4" s="1"/>
  <c r="F99" i="30"/>
  <c r="AC72" i="7"/>
  <c r="H110" i="30" s="1"/>
  <c r="H108" i="30" s="1"/>
  <c r="H112" i="30" s="1"/>
  <c r="H89" i="30" s="1"/>
  <c r="AN30" i="9"/>
  <c r="K51" i="30"/>
  <c r="D49" i="18"/>
  <c r="D308" i="22"/>
  <c r="D20" i="18"/>
  <c r="I20" i="18" s="1"/>
  <c r="I20" i="27"/>
  <c r="I28" i="27" s="1"/>
  <c r="D62" i="18"/>
  <c r="I62" i="18" s="1"/>
  <c r="G100" i="30"/>
  <c r="AC77" i="4"/>
  <c r="AE69" i="4"/>
  <c r="AH69" i="4" s="1"/>
  <c r="AL96" i="7"/>
  <c r="AM96" i="7" s="1"/>
  <c r="AO96" i="7"/>
  <c r="AP96" i="7" s="1"/>
  <c r="AR96" i="7" s="1"/>
  <c r="AK92" i="29"/>
  <c r="AG92" i="29"/>
  <c r="AI94" i="6"/>
  <c r="AK94" i="6"/>
  <c r="AP92" i="5"/>
  <c r="AL92" i="5"/>
  <c r="Q92" i="13"/>
  <c r="R92" i="13" s="1"/>
  <c r="AG22" i="5"/>
  <c r="AA72" i="7"/>
  <c r="AF70" i="6"/>
  <c r="AH70" i="6"/>
  <c r="AF78" i="6"/>
  <c r="AD48" i="7"/>
  <c r="H105" i="30"/>
  <c r="H103" i="30" s="1"/>
  <c r="AK69" i="5"/>
  <c r="AK22" i="5" s="1"/>
  <c r="AG69" i="5"/>
  <c r="AG77" i="5"/>
  <c r="Y161" i="13"/>
  <c r="R161" i="13"/>
  <c r="P161" i="13"/>
  <c r="AI46" i="6"/>
  <c r="AK46" i="6"/>
  <c r="AI54" i="6"/>
  <c r="AP46" i="5"/>
  <c r="AL46" i="5"/>
  <c r="AL54" i="5"/>
  <c r="AF22" i="6"/>
  <c r="S22" i="13"/>
  <c r="T22" i="13" s="1"/>
  <c r="AH22" i="6"/>
  <c r="AH30" i="6" s="1"/>
  <c r="F56" i="30"/>
  <c r="G56" i="30" s="1"/>
  <c r="H56" i="30" s="1"/>
  <c r="I56" i="30" s="1"/>
  <c r="J56" i="30" s="1"/>
  <c r="K55" i="30"/>
  <c r="F89" i="30"/>
  <c r="AK46" i="29"/>
  <c r="AF22" i="29"/>
  <c r="AG22" i="29" s="1"/>
  <c r="AG46" i="29"/>
  <c r="AG54" i="29"/>
  <c r="AA48" i="7"/>
  <c r="Z23" i="7"/>
  <c r="Z31" i="7" s="1"/>
  <c r="AA56" i="7"/>
  <c r="AB69" i="29"/>
  <c r="AF69" i="29"/>
  <c r="AB77" i="29"/>
  <c r="Z112" i="7"/>
  <c r="Z15" i="7" s="1"/>
  <c r="AC112" i="7"/>
  <c r="AP107" i="5"/>
  <c r="AL107" i="5"/>
  <c r="AL123" i="5"/>
  <c r="AG123" i="29"/>
  <c r="AG107" i="29"/>
  <c r="AK107" i="29"/>
  <c r="AI125" i="6"/>
  <c r="AK109" i="6"/>
  <c r="AI109" i="6"/>
  <c r="G122" i="30"/>
  <c r="AK84" i="29"/>
  <c r="AG84" i="29"/>
  <c r="AG100" i="29"/>
  <c r="AF14" i="29"/>
  <c r="AI84" i="4"/>
  <c r="AK84" i="4"/>
  <c r="O169" i="13"/>
  <c r="P169" i="13" s="1"/>
  <c r="AB30" i="5"/>
  <c r="O100" i="13"/>
  <c r="P100" i="13" s="1"/>
  <c r="AG14" i="5"/>
  <c r="Q84" i="13"/>
  <c r="R84" i="13" s="1"/>
  <c r="Q153" i="13"/>
  <c r="R153" i="13" s="1"/>
  <c r="AF30" i="5"/>
  <c r="D23" i="22"/>
  <c r="D31" i="22" s="1"/>
  <c r="D41" i="22"/>
  <c r="AA104" i="7"/>
  <c r="AA88" i="7"/>
  <c r="F90" i="30"/>
  <c r="F102" i="30"/>
  <c r="AH61" i="4"/>
  <c r="AF61" i="4"/>
  <c r="S14" i="13"/>
  <c r="T14" i="13" s="1"/>
  <c r="AH14" i="6"/>
  <c r="AF14" i="6"/>
  <c r="D24" i="2"/>
  <c r="D26" i="2"/>
  <c r="G58" i="30"/>
  <c r="AK86" i="6"/>
  <c r="AI86" i="6"/>
  <c r="AI102" i="6"/>
  <c r="AB14" i="29"/>
  <c r="AB30" i="29"/>
  <c r="G117" i="30"/>
  <c r="G98" i="30"/>
  <c r="Q30" i="13"/>
  <c r="R30" i="13" s="1"/>
  <c r="AC30" i="6"/>
  <c r="F165" i="30"/>
  <c r="K166" i="30"/>
  <c r="H40" i="30"/>
  <c r="H115" i="30"/>
  <c r="AD88" i="7"/>
  <c r="AP84" i="5"/>
  <c r="AL84" i="5"/>
  <c r="AL100" i="5"/>
  <c r="AK14" i="5"/>
  <c r="E27" i="22"/>
  <c r="E28" i="22" s="1"/>
  <c r="E29" i="22" s="1"/>
  <c r="E31" i="22" s="1"/>
  <c r="E117" i="18"/>
  <c r="E33" i="18"/>
  <c r="D311" i="22" l="1"/>
  <c r="D317" i="22"/>
  <c r="D319" i="22" s="1"/>
  <c r="E41" i="18"/>
  <c r="X31" i="7"/>
  <c r="E49" i="18" s="1"/>
  <c r="O146" i="13"/>
  <c r="P146" i="13" s="1"/>
  <c r="AA80" i="7"/>
  <c r="AI100" i="4"/>
  <c r="AI92" i="4"/>
  <c r="AC23" i="7"/>
  <c r="AC31" i="7" s="1"/>
  <c r="AD72" i="7"/>
  <c r="AD23" i="7" s="1"/>
  <c r="AR22" i="9"/>
  <c r="AR30" i="9" s="1"/>
  <c r="D28" i="18"/>
  <c r="I28" i="18" s="1"/>
  <c r="D70" i="18"/>
  <c r="I70" i="18" s="1"/>
  <c r="D31" i="3"/>
  <c r="E31" i="3" s="1"/>
  <c r="F31" i="3" s="1"/>
  <c r="AF77" i="4"/>
  <c r="D329" i="22"/>
  <c r="AF69" i="4"/>
  <c r="AQ92" i="5"/>
  <c r="AU92" i="5"/>
  <c r="AP92" i="29"/>
  <c r="AL92" i="29"/>
  <c r="AL94" i="6"/>
  <c r="AN94" i="6"/>
  <c r="AU96" i="7"/>
  <c r="AS96" i="7"/>
  <c r="AT96" i="7"/>
  <c r="AN92" i="4"/>
  <c r="AL92" i="4"/>
  <c r="AK69" i="29"/>
  <c r="AG69" i="29"/>
  <c r="AG77" i="29"/>
  <c r="E315" i="22"/>
  <c r="E316" i="22" s="1"/>
  <c r="E317" i="22" s="1"/>
  <c r="E319" i="22" s="1"/>
  <c r="AA23" i="7"/>
  <c r="Q138" i="13"/>
  <c r="R138" i="13" s="1"/>
  <c r="AI69" i="4"/>
  <c r="AK69" i="4"/>
  <c r="AP46" i="29"/>
  <c r="AL46" i="29"/>
  <c r="AK22" i="29"/>
  <c r="AL22" i="29" s="1"/>
  <c r="AL54" i="29"/>
  <c r="U22" i="13"/>
  <c r="V22" i="13" s="1"/>
  <c r="AI22" i="6"/>
  <c r="AK22" i="6"/>
  <c r="AK30" i="6" s="1"/>
  <c r="AL22" i="5"/>
  <c r="S92" i="13"/>
  <c r="T92" i="13" s="1"/>
  <c r="AN46" i="6"/>
  <c r="AL46" i="6"/>
  <c r="AP69" i="5"/>
  <c r="AP22" i="5" s="1"/>
  <c r="AL69" i="5"/>
  <c r="AL77" i="5"/>
  <c r="H107" i="30"/>
  <c r="AI70" i="6"/>
  <c r="AK70" i="6"/>
  <c r="AI78" i="6"/>
  <c r="AU46" i="5"/>
  <c r="AQ46" i="5"/>
  <c r="AQ54" i="5"/>
  <c r="AF48" i="7"/>
  <c r="AI48" i="7"/>
  <c r="AL123" i="29"/>
  <c r="AP107" i="29"/>
  <c r="AL107" i="29"/>
  <c r="AD112" i="7"/>
  <c r="AD15" i="7" s="1"/>
  <c r="H120" i="30"/>
  <c r="H118" i="30" s="1"/>
  <c r="AC15" i="7"/>
  <c r="AU107" i="5"/>
  <c r="AQ107" i="5"/>
  <c r="AQ123" i="5"/>
  <c r="AA128" i="7"/>
  <c r="AA112" i="7"/>
  <c r="G91" i="30"/>
  <c r="AN109" i="6"/>
  <c r="AL109" i="6"/>
  <c r="H113" i="30"/>
  <c r="F157" i="30"/>
  <c r="K165" i="30"/>
  <c r="K157" i="30" s="1"/>
  <c r="G90" i="30"/>
  <c r="G102" i="30"/>
  <c r="D40" i="22"/>
  <c r="D42" i="22" s="1"/>
  <c r="D32" i="22"/>
  <c r="AQ84" i="5"/>
  <c r="AU84" i="5"/>
  <c r="AQ100" i="5"/>
  <c r="AP14" i="5"/>
  <c r="E26" i="2"/>
  <c r="E24" i="2"/>
  <c r="H58" i="30"/>
  <c r="S30" i="13"/>
  <c r="T30" i="13" s="1"/>
  <c r="AF30" i="6"/>
  <c r="Q160" i="13"/>
  <c r="R160" i="13" s="1"/>
  <c r="Q100" i="13"/>
  <c r="R100" i="13" s="1"/>
  <c r="AG30" i="5"/>
  <c r="Q169" i="13"/>
  <c r="R169" i="13" s="1"/>
  <c r="AP84" i="29"/>
  <c r="AL84" i="29"/>
  <c r="AL100" i="29"/>
  <c r="AK14" i="29"/>
  <c r="AL14" i="5"/>
  <c r="S153" i="13"/>
  <c r="T153" i="13" s="1"/>
  <c r="S84" i="13"/>
  <c r="T84" i="13" s="1"/>
  <c r="AK30" i="5"/>
  <c r="I40" i="30"/>
  <c r="D25" i="2"/>
  <c r="D39" i="3"/>
  <c r="AA15" i="7"/>
  <c r="Q130" i="13"/>
  <c r="R130" i="13" s="1"/>
  <c r="AG14" i="29"/>
  <c r="AG30" i="29"/>
  <c r="E32" i="22"/>
  <c r="E40" i="22"/>
  <c r="AF88" i="7"/>
  <c r="AI88" i="7"/>
  <c r="E32" i="2"/>
  <c r="E28" i="2"/>
  <c r="AN86" i="6"/>
  <c r="AL86" i="6"/>
  <c r="AI14" i="6"/>
  <c r="AK14" i="6"/>
  <c r="U14" i="13"/>
  <c r="V14" i="13" s="1"/>
  <c r="AI61" i="4"/>
  <c r="AK61" i="4"/>
  <c r="AN84" i="4"/>
  <c r="AL84" i="4"/>
  <c r="AD31" i="7" l="1"/>
  <c r="F125" i="18"/>
  <c r="D328" i="22"/>
  <c r="D320" i="22"/>
  <c r="E133" i="18"/>
  <c r="D330" i="22"/>
  <c r="AF72" i="7"/>
  <c r="AG72" i="7" s="1"/>
  <c r="AI72" i="7"/>
  <c r="I110" i="30" s="1"/>
  <c r="I108" i="30" s="1"/>
  <c r="AI77" i="4"/>
  <c r="D29" i="3"/>
  <c r="D30" i="3" s="1"/>
  <c r="D33" i="3" s="1"/>
  <c r="D34" i="3" s="1"/>
  <c r="AQ92" i="29"/>
  <c r="AU92" i="29"/>
  <c r="AX92" i="5"/>
  <c r="AV92" i="5"/>
  <c r="AJ48" i="7"/>
  <c r="I105" i="30"/>
  <c r="I103" i="30" s="1"/>
  <c r="U92" i="13"/>
  <c r="V92" i="13" s="1"/>
  <c r="AQ22" i="5"/>
  <c r="AL70" i="6"/>
  <c r="AN70" i="6"/>
  <c r="AG48" i="7"/>
  <c r="AG56" i="7"/>
  <c r="AG80" i="7"/>
  <c r="AU69" i="5"/>
  <c r="AU22" i="5" s="1"/>
  <c r="AQ69" i="5"/>
  <c r="AQ77" i="5"/>
  <c r="AP22" i="29"/>
  <c r="AQ22" i="29" s="1"/>
  <c r="AU46" i="29"/>
  <c r="AQ46" i="29"/>
  <c r="AQ54" i="29"/>
  <c r="F41" i="18"/>
  <c r="AX46" i="5"/>
  <c r="AV46" i="5"/>
  <c r="AL54" i="6"/>
  <c r="AN54" i="6"/>
  <c r="AN69" i="4"/>
  <c r="AL69" i="4"/>
  <c r="AL69" i="29"/>
  <c r="AP69" i="29"/>
  <c r="AL77" i="29"/>
  <c r="H88" i="30"/>
  <c r="AN22" i="6"/>
  <c r="AL22" i="6"/>
  <c r="W22" i="13"/>
  <c r="E320" i="22"/>
  <c r="E328" i="22"/>
  <c r="H100" i="30"/>
  <c r="AU107" i="29"/>
  <c r="AQ107" i="29"/>
  <c r="AQ123" i="29"/>
  <c r="E42" i="22"/>
  <c r="AX107" i="5"/>
  <c r="AV107" i="5"/>
  <c r="H122" i="30"/>
  <c r="AF112" i="7"/>
  <c r="AF15" i="7" s="1"/>
  <c r="AI112" i="7"/>
  <c r="AI15" i="7" s="1"/>
  <c r="AL125" i="6"/>
  <c r="AN125" i="6"/>
  <c r="AL61" i="4"/>
  <c r="AN61" i="4"/>
  <c r="AN14" i="6"/>
  <c r="AL14" i="6"/>
  <c r="W14" i="13"/>
  <c r="AL30" i="5"/>
  <c r="S169" i="13"/>
  <c r="T169" i="13" s="1"/>
  <c r="S160" i="13"/>
  <c r="T160" i="13" s="1"/>
  <c r="S100" i="13"/>
  <c r="T100" i="13" s="1"/>
  <c r="U84" i="13"/>
  <c r="V84" i="13" s="1"/>
  <c r="U153" i="13"/>
  <c r="V153" i="13" s="1"/>
  <c r="AQ14" i="5"/>
  <c r="AP30" i="5"/>
  <c r="E39" i="3"/>
  <c r="E25" i="2"/>
  <c r="AN100" i="4"/>
  <c r="AL100" i="4"/>
  <c r="AN102" i="6"/>
  <c r="AL102" i="6"/>
  <c r="AG104" i="7"/>
  <c r="AG88" i="7"/>
  <c r="AQ84" i="29"/>
  <c r="AU84" i="29"/>
  <c r="AQ100" i="29"/>
  <c r="AP14" i="29"/>
  <c r="I58" i="30"/>
  <c r="H117" i="30"/>
  <c r="H98" i="30"/>
  <c r="U30" i="13"/>
  <c r="V30" i="13" s="1"/>
  <c r="AI30" i="6"/>
  <c r="F117" i="18"/>
  <c r="F33" i="18"/>
  <c r="AA31" i="7"/>
  <c r="Q146" i="13"/>
  <c r="R146" i="13" s="1"/>
  <c r="F24" i="2"/>
  <c r="F26" i="2"/>
  <c r="AL14" i="29"/>
  <c r="AL30" i="29"/>
  <c r="AV84" i="5"/>
  <c r="AX84" i="5"/>
  <c r="AU14" i="5"/>
  <c r="I27" i="2"/>
  <c r="I29" i="2"/>
  <c r="I115" i="30"/>
  <c r="AJ88" i="7"/>
  <c r="J40" i="30"/>
  <c r="G31" i="3"/>
  <c r="D27" i="2"/>
  <c r="D29" i="2"/>
  <c r="D28" i="2"/>
  <c r="AJ72" i="7" l="1"/>
  <c r="AF23" i="7"/>
  <c r="E330" i="22"/>
  <c r="AI23" i="7"/>
  <c r="AI31" i="7" s="1"/>
  <c r="E29" i="3"/>
  <c r="E30" i="3" s="1"/>
  <c r="E33" i="3" s="1"/>
  <c r="E34" i="3" s="1"/>
  <c r="AX92" i="29"/>
  <c r="AV92" i="29"/>
  <c r="W92" i="13"/>
  <c r="AX22" i="5"/>
  <c r="AV22" i="5"/>
  <c r="X22" i="13"/>
  <c r="Y22" i="13"/>
  <c r="I107" i="30"/>
  <c r="I112" i="30"/>
  <c r="AO48" i="7"/>
  <c r="AL48" i="7"/>
  <c r="AJ23" i="7"/>
  <c r="AO72" i="7"/>
  <c r="AL72" i="7"/>
  <c r="AQ69" i="29"/>
  <c r="AU69" i="29"/>
  <c r="AQ77" i="29"/>
  <c r="AX54" i="5"/>
  <c r="AV54" i="5"/>
  <c r="AX46" i="29"/>
  <c r="AV46" i="29"/>
  <c r="AU22" i="29"/>
  <c r="AX69" i="5"/>
  <c r="AV69" i="5"/>
  <c r="AN78" i="6"/>
  <c r="AL78" i="6"/>
  <c r="AX123" i="5"/>
  <c r="AV123" i="5"/>
  <c r="AO112" i="7"/>
  <c r="AJ112" i="7"/>
  <c r="AJ15" i="7" s="1"/>
  <c r="I120" i="30"/>
  <c r="I118" i="30" s="1"/>
  <c r="H91" i="30"/>
  <c r="AX107" i="29"/>
  <c r="AV107" i="29"/>
  <c r="AG112" i="7"/>
  <c r="AG128" i="7"/>
  <c r="G26" i="2"/>
  <c r="G24" i="2"/>
  <c r="AX100" i="5"/>
  <c r="AV100" i="5"/>
  <c r="F49" i="18"/>
  <c r="F133" i="18"/>
  <c r="F32" i="2"/>
  <c r="F28" i="2"/>
  <c r="AV84" i="29"/>
  <c r="AX84" i="29"/>
  <c r="AU14" i="29"/>
  <c r="Y14" i="13"/>
  <c r="X14" i="13"/>
  <c r="AN77" i="4"/>
  <c r="AL77" i="4"/>
  <c r="H24" i="2"/>
  <c r="H26" i="2"/>
  <c r="AO88" i="7"/>
  <c r="AL88" i="7"/>
  <c r="H90" i="30"/>
  <c r="H102" i="30"/>
  <c r="J58" i="30"/>
  <c r="I113" i="30"/>
  <c r="AQ30" i="29"/>
  <c r="AQ14" i="29"/>
  <c r="U169" i="13"/>
  <c r="V169" i="13" s="1"/>
  <c r="U160" i="13"/>
  <c r="V160" i="13" s="1"/>
  <c r="AQ30" i="5"/>
  <c r="U100" i="13"/>
  <c r="V100" i="13" s="1"/>
  <c r="H31" i="3"/>
  <c r="W84" i="13"/>
  <c r="AX14" i="5"/>
  <c r="W153" i="13"/>
  <c r="AU30" i="5"/>
  <c r="AV14" i="5"/>
  <c r="F27" i="22"/>
  <c r="F28" i="22" s="1"/>
  <c r="F29" i="22" s="1"/>
  <c r="F31" i="22" s="1"/>
  <c r="AG15" i="7"/>
  <c r="S130" i="13"/>
  <c r="T130" i="13" s="1"/>
  <c r="W30" i="13"/>
  <c r="AL30" i="6"/>
  <c r="AN30" i="6"/>
  <c r="AJ31" i="7" l="1"/>
  <c r="G125" i="18"/>
  <c r="S138" i="13"/>
  <c r="T138" i="13" s="1"/>
  <c r="AF31" i="7"/>
  <c r="S146" i="13" s="1"/>
  <c r="T146" i="13" s="1"/>
  <c r="AG23" i="7"/>
  <c r="F315" i="22"/>
  <c r="F316" i="22" s="1"/>
  <c r="F317" i="22" s="1"/>
  <c r="F319" i="22" s="1"/>
  <c r="F328" i="22" s="1"/>
  <c r="F330" i="22" s="1"/>
  <c r="F29" i="3"/>
  <c r="F30" i="3" s="1"/>
  <c r="F33" i="3" s="1"/>
  <c r="F34" i="3" s="1"/>
  <c r="AV69" i="29"/>
  <c r="AX69" i="29"/>
  <c r="AP72" i="7"/>
  <c r="J110" i="30"/>
  <c r="J108" i="30" s="1"/>
  <c r="AO23" i="7"/>
  <c r="AO31" i="7" s="1"/>
  <c r="AP48" i="7"/>
  <c r="J105" i="30"/>
  <c r="J103" i="30" s="1"/>
  <c r="AV54" i="29"/>
  <c r="AX54" i="29"/>
  <c r="I88" i="30"/>
  <c r="AV77" i="5"/>
  <c r="AX77" i="5"/>
  <c r="AX22" i="29"/>
  <c r="AV22" i="29"/>
  <c r="G41" i="18"/>
  <c r="I89" i="30"/>
  <c r="Y92" i="13"/>
  <c r="X92" i="13"/>
  <c r="AM72" i="7"/>
  <c r="AM80" i="7"/>
  <c r="AM48" i="7"/>
  <c r="AL23" i="7"/>
  <c r="AL31" i="7" s="1"/>
  <c r="AM56" i="7"/>
  <c r="I100" i="30"/>
  <c r="AX123" i="29"/>
  <c r="AV123" i="29"/>
  <c r="AL112" i="7"/>
  <c r="AL15" i="7" s="1"/>
  <c r="AP112" i="7"/>
  <c r="J120" i="30"/>
  <c r="J118" i="30" s="1"/>
  <c r="J122" i="30" s="1"/>
  <c r="J91" i="30" s="1"/>
  <c r="I122" i="30"/>
  <c r="X30" i="13"/>
  <c r="Y30" i="13"/>
  <c r="F32" i="22"/>
  <c r="F40" i="22"/>
  <c r="F42" i="22" s="1"/>
  <c r="X84" i="13"/>
  <c r="Y84" i="13"/>
  <c r="AP88" i="7"/>
  <c r="J115" i="30"/>
  <c r="AO15" i="7"/>
  <c r="AG31" i="7"/>
  <c r="AX30" i="5"/>
  <c r="W169" i="13"/>
  <c r="AV30" i="5"/>
  <c r="W160" i="13"/>
  <c r="W100" i="13"/>
  <c r="F39" i="3"/>
  <c r="F25" i="2"/>
  <c r="G117" i="18"/>
  <c r="G33" i="18"/>
  <c r="AX14" i="29"/>
  <c r="AV14" i="29"/>
  <c r="Y153" i="13"/>
  <c r="X153" i="13"/>
  <c r="I117" i="30"/>
  <c r="I98" i="30"/>
  <c r="AM104" i="7"/>
  <c r="AM88" i="7"/>
  <c r="AX100" i="29"/>
  <c r="AV100" i="29"/>
  <c r="F320" i="22" l="1"/>
  <c r="G29" i="3"/>
  <c r="G30" i="3" s="1"/>
  <c r="G33" i="3" s="1"/>
  <c r="G34" i="3" s="1"/>
  <c r="J107" i="30"/>
  <c r="K103" i="30"/>
  <c r="AR72" i="7"/>
  <c r="G315" i="22"/>
  <c r="G316" i="22" s="1"/>
  <c r="G317" i="22" s="1"/>
  <c r="G319" i="22" s="1"/>
  <c r="U138" i="13"/>
  <c r="V138" i="13" s="1"/>
  <c r="AM23" i="7"/>
  <c r="AR48" i="7"/>
  <c r="AP23" i="7"/>
  <c r="AV77" i="29"/>
  <c r="AX77" i="29"/>
  <c r="J112" i="30"/>
  <c r="K108" i="30"/>
  <c r="K118" i="30"/>
  <c r="I91" i="30"/>
  <c r="K91" i="30" s="1"/>
  <c r="K122" i="30"/>
  <c r="AR112" i="7"/>
  <c r="AT112" i="7" s="1"/>
  <c r="AM112" i="7"/>
  <c r="AM128" i="7"/>
  <c r="G27" i="22"/>
  <c r="G28" i="22" s="1"/>
  <c r="G29" i="22" s="1"/>
  <c r="G31" i="22" s="1"/>
  <c r="AM15" i="7"/>
  <c r="U130" i="13"/>
  <c r="V130" i="13" s="1"/>
  <c r="G28" i="2"/>
  <c r="G32" i="2"/>
  <c r="AV30" i="29"/>
  <c r="AX30" i="29"/>
  <c r="G49" i="18"/>
  <c r="G133" i="18"/>
  <c r="Y100" i="13"/>
  <c r="X100" i="13"/>
  <c r="AR88" i="7"/>
  <c r="AP15" i="7"/>
  <c r="I90" i="30"/>
  <c r="I102" i="30"/>
  <c r="Y160" i="13"/>
  <c r="X160" i="13"/>
  <c r="Y169" i="13"/>
  <c r="X169" i="13"/>
  <c r="J113" i="30"/>
  <c r="J100" i="30"/>
  <c r="AP31" i="7" l="1"/>
  <c r="H125" i="18"/>
  <c r="I125" i="18" s="1"/>
  <c r="H29" i="3"/>
  <c r="H30" i="3" s="1"/>
  <c r="H33" i="3" s="1"/>
  <c r="H34" i="3" s="1"/>
  <c r="D35" i="3" s="1"/>
  <c r="J89" i="30"/>
  <c r="K89" i="30" s="1"/>
  <c r="K112" i="30"/>
  <c r="H41" i="18"/>
  <c r="I41" i="18" s="1"/>
  <c r="AU72" i="7"/>
  <c r="AS72" i="7"/>
  <c r="AT72" i="7"/>
  <c r="AS48" i="7"/>
  <c r="AR23" i="7"/>
  <c r="AU48" i="7"/>
  <c r="AT48" i="7"/>
  <c r="G328" i="22"/>
  <c r="G330" i="22" s="1"/>
  <c r="G320" i="22"/>
  <c r="J88" i="30"/>
  <c r="K88" i="30" s="1"/>
  <c r="K107" i="30"/>
  <c r="AU112" i="7"/>
  <c r="AS112" i="7"/>
  <c r="H33" i="18"/>
  <c r="I33" i="18" s="1"/>
  <c r="H117" i="18"/>
  <c r="I117" i="18" s="1"/>
  <c r="G25" i="2"/>
  <c r="G39" i="3"/>
  <c r="AU88" i="7"/>
  <c r="AS88" i="7"/>
  <c r="AR15" i="7"/>
  <c r="AT15" i="7" s="1"/>
  <c r="AT88" i="7"/>
  <c r="AM31" i="7"/>
  <c r="U146" i="13"/>
  <c r="V146" i="13" s="1"/>
  <c r="J117" i="30"/>
  <c r="J98" i="30"/>
  <c r="K113" i="30"/>
  <c r="G40" i="22"/>
  <c r="G42" i="22" s="1"/>
  <c r="G32" i="22"/>
  <c r="AT23" i="7" l="1"/>
  <c r="AT31" i="7" s="1"/>
  <c r="AR31" i="7"/>
  <c r="AS56" i="7"/>
  <c r="AU56" i="7"/>
  <c r="AS80" i="7"/>
  <c r="AU80" i="7"/>
  <c r="W138" i="13"/>
  <c r="AU23" i="7"/>
  <c r="H315" i="22"/>
  <c r="AS23" i="7"/>
  <c r="AU128" i="7"/>
  <c r="AS128" i="7"/>
  <c r="K98" i="30"/>
  <c r="H28" i="2"/>
  <c r="H32" i="2"/>
  <c r="J90" i="30"/>
  <c r="K90" i="30" s="1"/>
  <c r="J102" i="30"/>
  <c r="K117" i="30"/>
  <c r="AS104" i="7"/>
  <c r="AU104" i="7"/>
  <c r="H27" i="22"/>
  <c r="I27" i="22" s="1"/>
  <c r="J27" i="22" s="1"/>
  <c r="K27" i="22" s="1"/>
  <c r="L27" i="22" s="1"/>
  <c r="M27" i="22" s="1"/>
  <c r="N27" i="22" s="1"/>
  <c r="O27" i="22" s="1"/>
  <c r="P27" i="22" s="1"/>
  <c r="Q27" i="22" s="1"/>
  <c r="R27" i="22" s="1"/>
  <c r="S27" i="22" s="1"/>
  <c r="T27" i="22" s="1"/>
  <c r="U27" i="22" s="1"/>
  <c r="V27" i="22" s="1"/>
  <c r="W27" i="22" s="1"/>
  <c r="X27" i="22" s="1"/>
  <c r="Y27" i="22" s="1"/>
  <c r="Z27" i="22" s="1"/>
  <c r="AA27" i="22" s="1"/>
  <c r="AU15" i="7"/>
  <c r="AS15" i="7"/>
  <c r="W130" i="13"/>
  <c r="H133" i="18"/>
  <c r="I133" i="18" s="1"/>
  <c r="H49" i="18"/>
  <c r="I49" i="18" s="1"/>
  <c r="H316" i="22" l="1"/>
  <c r="H317" i="22" s="1"/>
  <c r="H319" i="22" s="1"/>
  <c r="I315" i="22"/>
  <c r="X138" i="13"/>
  <c r="Y138" i="13"/>
  <c r="W146" i="13"/>
  <c r="AS31" i="7"/>
  <c r="AU31" i="7"/>
  <c r="H25" i="2"/>
  <c r="H39" i="3"/>
  <c r="D40" i="3" s="1"/>
  <c r="D42" i="3" s="1"/>
  <c r="C47" i="3" s="1"/>
  <c r="K102" i="30"/>
  <c r="X130" i="13"/>
  <c r="Y130" i="13"/>
  <c r="H28" i="22"/>
  <c r="H29" i="22" s="1"/>
  <c r="H31" i="22" s="1"/>
  <c r="I32" i="2"/>
  <c r="I28" i="2"/>
  <c r="J315" i="22" l="1"/>
  <c r="I316" i="22"/>
  <c r="I317" i="22" s="1"/>
  <c r="I319" i="22" s="1"/>
  <c r="H328" i="22"/>
  <c r="H330" i="22" s="1"/>
  <c r="H320" i="22"/>
  <c r="I28" i="22"/>
  <c r="I29" i="22" s="1"/>
  <c r="I31" i="22" s="1"/>
  <c r="H32" i="22"/>
  <c r="H40" i="22"/>
  <c r="H42" i="22" s="1"/>
  <c r="X146" i="13"/>
  <c r="Y146" i="13"/>
  <c r="I320" i="22" l="1"/>
  <c r="I328" i="22"/>
  <c r="I330" i="22" s="1"/>
  <c r="K315" i="22"/>
  <c r="J316" i="22"/>
  <c r="J317" i="22" s="1"/>
  <c r="J319" i="22" s="1"/>
  <c r="J28" i="22"/>
  <c r="J29" i="22" s="1"/>
  <c r="J31" i="22" s="1"/>
  <c r="I40" i="22"/>
  <c r="I42" i="22" s="1"/>
  <c r="I32" i="22"/>
  <c r="L315" i="22" l="1"/>
  <c r="K316" i="22"/>
  <c r="K317" i="22" s="1"/>
  <c r="K319" i="22" s="1"/>
  <c r="J320" i="22"/>
  <c r="J328" i="22"/>
  <c r="J330" i="22" s="1"/>
  <c r="J40" i="22"/>
  <c r="J42" i="22" s="1"/>
  <c r="J32" i="22"/>
  <c r="K28" i="22"/>
  <c r="K29" i="22" s="1"/>
  <c r="K31" i="22" s="1"/>
  <c r="K328" i="22" l="1"/>
  <c r="K330" i="22" s="1"/>
  <c r="K320" i="22"/>
  <c r="L316" i="22"/>
  <c r="L317" i="22" s="1"/>
  <c r="L319" i="22" s="1"/>
  <c r="M315" i="22"/>
  <c r="K32" i="22"/>
  <c r="K40" i="22"/>
  <c r="K42" i="22" s="1"/>
  <c r="L28" i="22"/>
  <c r="L29" i="22" s="1"/>
  <c r="L31" i="22" s="1"/>
  <c r="L320" i="22" l="1"/>
  <c r="L328" i="22"/>
  <c r="L330" i="22" s="1"/>
  <c r="N315" i="22"/>
  <c r="M316" i="22"/>
  <c r="M317" i="22" s="1"/>
  <c r="M319" i="22" s="1"/>
  <c r="M28" i="22"/>
  <c r="M29" i="22" s="1"/>
  <c r="M31" i="22" s="1"/>
  <c r="L40" i="22"/>
  <c r="L42" i="22" s="1"/>
  <c r="L32" i="22"/>
  <c r="N316" i="22" l="1"/>
  <c r="N317" i="22" s="1"/>
  <c r="N319" i="22" s="1"/>
  <c r="O315" i="22"/>
  <c r="M328" i="22"/>
  <c r="M330" i="22" s="1"/>
  <c r="M320" i="22"/>
  <c r="M32" i="22"/>
  <c r="M40" i="22"/>
  <c r="M42" i="22" s="1"/>
  <c r="N28" i="22"/>
  <c r="N29" i="22" s="1"/>
  <c r="N31" i="22" s="1"/>
  <c r="P315" i="22" l="1"/>
  <c r="O316" i="22"/>
  <c r="O317" i="22" s="1"/>
  <c r="O319" i="22" s="1"/>
  <c r="N328" i="22"/>
  <c r="N330" i="22" s="1"/>
  <c r="N320" i="22"/>
  <c r="N32" i="22"/>
  <c r="N40" i="22"/>
  <c r="N42" i="22" s="1"/>
  <c r="O28" i="22"/>
  <c r="O29" i="22" s="1"/>
  <c r="O31" i="22" s="1"/>
  <c r="O328" i="22" l="1"/>
  <c r="O330" i="22" s="1"/>
  <c r="O320" i="22"/>
  <c r="Q315" i="22"/>
  <c r="P316" i="22"/>
  <c r="P317" i="22" s="1"/>
  <c r="P319" i="22" s="1"/>
  <c r="P28" i="22"/>
  <c r="P29" i="22" s="1"/>
  <c r="P31" i="22" s="1"/>
  <c r="O32" i="22"/>
  <c r="O40" i="22"/>
  <c r="O42" i="22" s="1"/>
  <c r="Q316" i="22" l="1"/>
  <c r="Q317" i="22" s="1"/>
  <c r="Q319" i="22" s="1"/>
  <c r="R315" i="22"/>
  <c r="P328" i="22"/>
  <c r="P330" i="22" s="1"/>
  <c r="P320" i="22"/>
  <c r="Q28" i="22"/>
  <c r="Q29" i="22" s="1"/>
  <c r="Q31" i="22" s="1"/>
  <c r="P40" i="22"/>
  <c r="P42" i="22" s="1"/>
  <c r="P32" i="22"/>
  <c r="R316" i="22" l="1"/>
  <c r="R317" i="22" s="1"/>
  <c r="R319" i="22" s="1"/>
  <c r="S315" i="22"/>
  <c r="Q320" i="22"/>
  <c r="Q328" i="22"/>
  <c r="Q330" i="22" s="1"/>
  <c r="R28" i="22"/>
  <c r="R29" i="22" s="1"/>
  <c r="R31" i="22" s="1"/>
  <c r="Q32" i="22"/>
  <c r="Q40" i="22"/>
  <c r="Q42" i="22" s="1"/>
  <c r="T315" i="22" l="1"/>
  <c r="S316" i="22"/>
  <c r="S317" i="22" s="1"/>
  <c r="S319" i="22" s="1"/>
  <c r="R320" i="22"/>
  <c r="R328" i="22"/>
  <c r="R330" i="22" s="1"/>
  <c r="S28" i="22"/>
  <c r="S29" i="22" s="1"/>
  <c r="S31" i="22" s="1"/>
  <c r="R32" i="22"/>
  <c r="R40" i="22"/>
  <c r="R42" i="22" s="1"/>
  <c r="S328" i="22" l="1"/>
  <c r="S330" i="22" s="1"/>
  <c r="S320" i="22"/>
  <c r="U315" i="22"/>
  <c r="T316" i="22"/>
  <c r="T317" i="22" s="1"/>
  <c r="T319" i="22" s="1"/>
  <c r="S32" i="22"/>
  <c r="S40" i="22"/>
  <c r="S42" i="22" s="1"/>
  <c r="T28" i="22"/>
  <c r="T29" i="22" s="1"/>
  <c r="T31" i="22" s="1"/>
  <c r="U316" i="22" l="1"/>
  <c r="U317" i="22" s="1"/>
  <c r="U319" i="22" s="1"/>
  <c r="V315" i="22"/>
  <c r="T328" i="22"/>
  <c r="T330" i="22" s="1"/>
  <c r="T320" i="22"/>
  <c r="U28" i="22"/>
  <c r="U29" i="22" s="1"/>
  <c r="U31" i="22" s="1"/>
  <c r="T32" i="22"/>
  <c r="T40" i="22"/>
  <c r="T42" i="22" s="1"/>
  <c r="W315" i="22" l="1"/>
  <c r="V316" i="22"/>
  <c r="V317" i="22" s="1"/>
  <c r="V319" i="22" s="1"/>
  <c r="U328" i="22"/>
  <c r="U330" i="22" s="1"/>
  <c r="U320" i="22"/>
  <c r="U32" i="22"/>
  <c r="U40" i="22"/>
  <c r="U42" i="22" s="1"/>
  <c r="V28" i="22"/>
  <c r="V29" i="22" s="1"/>
  <c r="V31" i="22" s="1"/>
  <c r="V320" i="22" l="1"/>
  <c r="V328" i="22"/>
  <c r="V330" i="22" s="1"/>
  <c r="X315" i="22"/>
  <c r="W316" i="22"/>
  <c r="W317" i="22" s="1"/>
  <c r="W319" i="22" s="1"/>
  <c r="W28" i="22"/>
  <c r="W29" i="22" s="1"/>
  <c r="W31" i="22" s="1"/>
  <c r="V32" i="22"/>
  <c r="V40" i="22"/>
  <c r="V42" i="22" s="1"/>
  <c r="W328" i="22" l="1"/>
  <c r="W330" i="22" s="1"/>
  <c r="W320" i="22"/>
  <c r="Y315" i="22"/>
  <c r="X316" i="22"/>
  <c r="X317" i="22" s="1"/>
  <c r="X319" i="22" s="1"/>
  <c r="W32" i="22"/>
  <c r="W40" i="22"/>
  <c r="W42" i="22" s="1"/>
  <c r="X28" i="22"/>
  <c r="X29" i="22" s="1"/>
  <c r="X31" i="22" s="1"/>
  <c r="X328" i="22" l="1"/>
  <c r="X330" i="22" s="1"/>
  <c r="X320" i="22"/>
  <c r="Y316" i="22"/>
  <c r="Y317" i="22" s="1"/>
  <c r="Y319" i="22" s="1"/>
  <c r="Z315" i="22"/>
  <c r="X32" i="22"/>
  <c r="X40" i="22"/>
  <c r="X42" i="22" s="1"/>
  <c r="Y28" i="22"/>
  <c r="Y29" i="22" s="1"/>
  <c r="Y31" i="22" s="1"/>
  <c r="AA315" i="22" l="1"/>
  <c r="Z316" i="22"/>
  <c r="Z317" i="22" s="1"/>
  <c r="Z319" i="22" s="1"/>
  <c r="Y328" i="22"/>
  <c r="Y330" i="22" s="1"/>
  <c r="Y320" i="22"/>
  <c r="Y32" i="22"/>
  <c r="Y40" i="22"/>
  <c r="Y42" i="22" s="1"/>
  <c r="Z28" i="22"/>
  <c r="Z29" i="22" s="1"/>
  <c r="Z31" i="22" s="1"/>
  <c r="Z328" i="22" l="1"/>
  <c r="Z330" i="22" s="1"/>
  <c r="Z320" i="22"/>
  <c r="AA316" i="22"/>
  <c r="AA317" i="22" s="1"/>
  <c r="AA319" i="22" s="1"/>
  <c r="Z32" i="22"/>
  <c r="Z40" i="22"/>
  <c r="Z42" i="22" s="1"/>
  <c r="AA28" i="22"/>
  <c r="AA29" i="22" s="1"/>
  <c r="AA31" i="22" s="1"/>
  <c r="D324" i="22" l="1"/>
  <c r="D20" i="24" s="1"/>
  <c r="AA320" i="22"/>
  <c r="AA328" i="22"/>
  <c r="AA330" i="22" s="1"/>
  <c r="AA32" i="22"/>
  <c r="AA40" i="22"/>
  <c r="AA42" i="22" s="1"/>
  <c r="D36" i="22"/>
  <c r="D12" i="24" s="1"/>
  <c r="D322" i="22" l="1"/>
  <c r="D34" i="22"/>
  <c r="C20" i="24" l="1"/>
  <c r="D490" i="22"/>
  <c r="C12" i="24"/>
</calcChain>
</file>

<file path=xl/sharedStrings.xml><?xml version="1.0" encoding="utf-8"?>
<sst xmlns="http://schemas.openxmlformats.org/spreadsheetml/2006/main" count="6097" uniqueCount="315">
  <si>
    <t>έως</t>
  </si>
  <si>
    <t>Δίκτυο Διανομής:</t>
  </si>
  <si>
    <t xml:space="preserve">Πρόγραμμα Ανάπτυξης: </t>
  </si>
  <si>
    <t>Δίκτυο μέσης πίεσης</t>
  </si>
  <si>
    <t>Νέο</t>
  </si>
  <si>
    <t>Προοδευτικό</t>
  </si>
  <si>
    <t>Νέοι</t>
  </si>
  <si>
    <t>Προοδευτικοί</t>
  </si>
  <si>
    <t>Νέες</t>
  </si>
  <si>
    <t>Προοδευτικές</t>
  </si>
  <si>
    <t>1. Ανάπτυξη δικτύου</t>
  </si>
  <si>
    <t>Σύνολο τελικών πελατών</t>
  </si>
  <si>
    <t>CNG για αεριοκίνηση και φόρτωση βυτιοφόρων</t>
  </si>
  <si>
    <t>Βιομηχανικοί</t>
  </si>
  <si>
    <t>2. Ενεργές συνδέσεις ανά κατηγορία πελάτη</t>
  </si>
  <si>
    <t>* Για τους οικιακούς πελάτες, κάθε νοικοκυριό θεωρείται ως ξεχωριστός πελάτες</t>
  </si>
  <si>
    <t>Οικιακοί</t>
  </si>
  <si>
    <t>Σύνολο</t>
  </si>
  <si>
    <t>Σύνολο*</t>
  </si>
  <si>
    <t>Δυνητικοί πελάτες</t>
  </si>
  <si>
    <t>Μονάδα</t>
  </si>
  <si>
    <t>m</t>
  </si>
  <si>
    <t>#</t>
  </si>
  <si>
    <t>Δίκτυο χαμηλής πίεσης</t>
  </si>
  <si>
    <t>Σταθμοί αποσυμπίεσης</t>
  </si>
  <si>
    <t>Αποθήκες LNG</t>
  </si>
  <si>
    <t>MWh</t>
  </si>
  <si>
    <t>Δυνητικές συνδέσεις</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</si>
  <si>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</si>
  <si>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</si>
  <si>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</si>
  <si>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t xml:space="preserve">Βαθμός διείσδυσης αερίου </t>
  </si>
  <si>
    <t>Βαθμός κάλυψης δικτύου ΧΠ</t>
  </si>
  <si>
    <t xml:space="preserve">Βαθμός κάλυψης δικτύου </t>
  </si>
  <si>
    <t xml:space="preserve">Βαθμός σύνδεσης κτηρίων </t>
  </si>
  <si>
    <t xml:space="preserve">Βαθμός μελέτης δικτύου </t>
  </si>
  <si>
    <t xml:space="preserve">Ενεργές συνδέσεις ανά συνολικό μήκος δικτύου ΧΠ </t>
  </si>
  <si>
    <t>Μετρητές</t>
  </si>
  <si>
    <t xml:space="preserve">Διανεμηθείσα ποσότητα αερίου ανά συνολικό μήκος δικτύου ΧΠ </t>
  </si>
  <si>
    <t>Επένδυση ανά νέο ενεργό τελικό πελάτη</t>
  </si>
  <si>
    <t>Επένδυση ανά νέα κατανάλωση</t>
  </si>
  <si>
    <t>Επένδυση ανά νέα ενεργή σύνδεση</t>
  </si>
  <si>
    <t>Νέοι ενεργοί πελάτες ανά μήκος νέου δικτύου</t>
  </si>
  <si>
    <t>Νέες συνδέσεις ανά μήκος νέου δικτύου</t>
  </si>
  <si>
    <t>Νέα κατανάλωση ανά μήκος νέου δικτύου</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</si>
  <si>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</si>
  <si>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</si>
  <si>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t>
  </si>
  <si>
    <t>Έργα ανάπτυξης</t>
  </si>
  <si>
    <t>Έργα σύνδεσης</t>
  </si>
  <si>
    <t>Έργα ασφάλειας και ενίσχυσης δικτύου</t>
  </si>
  <si>
    <t>Έργα εξοικονόμησης ενέργειας</t>
  </si>
  <si>
    <t>Πρόσθετες επενδύσεις</t>
  </si>
  <si>
    <t>Σύνολο επενδύσεων</t>
  </si>
  <si>
    <t>Μονάδες</t>
  </si>
  <si>
    <t>%</t>
  </si>
  <si>
    <t>MWh/m</t>
  </si>
  <si>
    <t>Συνδέσεις/m</t>
  </si>
  <si>
    <t>€/πελάτη</t>
  </si>
  <si>
    <t>€/σύνδεση</t>
  </si>
  <si>
    <t>€/MWh</t>
  </si>
  <si>
    <t>Πελάτες/m</t>
  </si>
  <si>
    <t>Ρυθμιζόμενη περιουσιακή βάση</t>
  </si>
  <si>
    <t>Απόδοση επί της ρυθμιζόμενης περιουσιακής βάσης</t>
  </si>
  <si>
    <t>Λειτουργικές δαπάνες</t>
  </si>
  <si>
    <t>Αποσβέσεις παγίων</t>
  </si>
  <si>
    <t>Απαιτούμενο έσοδο</t>
  </si>
  <si>
    <t>Διανεμηθείσες ποσότητες αερίου</t>
  </si>
  <si>
    <t>Έτος Προγράμματος Ανάπτυξης</t>
  </si>
  <si>
    <t>Παρούσα αξία ανά έτος</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</si>
  <si>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</si>
  <si>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</si>
  <si>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</si>
  <si>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t>Μέση χρέωση με τις επενδύσεις του Προγράμματος Ανάπτυξης</t>
  </si>
  <si>
    <t>Επίπτωση Προγράμματος Ανάπτυξης</t>
  </si>
  <si>
    <t>Επίπτωση στη μέση χρέωση διανομής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</si>
  <si>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</si>
  <si>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</si>
  <si>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</si>
  <si>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</si>
  <si>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</si>
  <si>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Μεταβολή</t>
  </si>
  <si>
    <t>Σύνολο Δήμων</t>
  </si>
  <si>
    <t>Ετήσιος ρυθμός ανάπτυξης (CAGR)</t>
  </si>
  <si>
    <t>Σύνολο Δημων</t>
  </si>
  <si>
    <t>MWh/έτος</t>
  </si>
  <si>
    <t>1ο έτος σύνδεσης</t>
  </si>
  <si>
    <t>Επόμενα έτη τροφοδοσίας</t>
  </si>
  <si>
    <t>Πύκνωση υφιστάμενου δικτύου</t>
  </si>
  <si>
    <t>Επέκταση δικτύου</t>
  </si>
  <si>
    <t xml:space="preserve">Προσθήκη / αφαίρεση γραμμών, πάνω από αυτή τη γραμμή, ανάλογα με τον αριθμό των δήμων και δημοτικών ενοτήτων. </t>
  </si>
  <si>
    <t xml:space="preserve"> Δυνητικές συνδέσεις</t>
  </si>
  <si>
    <t>Περιεχόμενα</t>
  </si>
  <si>
    <t>Δείκτες</t>
  </si>
  <si>
    <t>Βαθμός κάλυψης δικτύου</t>
  </si>
  <si>
    <t>€/m</t>
  </si>
  <si>
    <t>€/τεμάχιο</t>
  </si>
  <si>
    <t>Σταθμοί Αεριοποίησης</t>
  </si>
  <si>
    <t>Δείκτες απόδοσης</t>
  </si>
  <si>
    <t>Επίπτωση στη μέση χρέωση</t>
  </si>
  <si>
    <t>Συνολικό δίκτυο-&gt;</t>
  </si>
  <si>
    <t>Οικονομική ανάλυση δήμων</t>
  </si>
  <si>
    <t>Ανάλυση Προγράμματος Ανάπτυξης για το συνολικό δίκτυο διανομής</t>
  </si>
  <si>
    <t>Ανάλυση Προγράμματος Ανάπτυξης σε επίπεδο δήμων</t>
  </si>
  <si>
    <t>Επανάληψη της παρακάτω φόρμας για κάθε δήμο που εξετάζεται</t>
  </si>
  <si>
    <t>Ο Διαχεριστής προσθέτει / αφαιρεί στήλες ανάλογα με τα υπολοιπόμενα έτη έως το τέλος της αδείας του</t>
  </si>
  <si>
    <t>Εκροές</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</si>
  <si>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</si>
  <si>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</si>
  <si>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</si>
  <si>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</si>
  <si>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</si>
  <si>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</si>
  <si>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</si>
  <si>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</si>
  <si>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</si>
  <si>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</si>
  <si>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</si>
  <si>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Εσωτερικός συντελεστής απόδοσης</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</si>
  <si>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</si>
  <si>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</si>
  <si>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</si>
  <si>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</si>
  <si>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t>Δείκτες οικονομικής αξιολόγησης</t>
  </si>
  <si>
    <t>Καθαρή παρούσα αξία (€)</t>
  </si>
  <si>
    <t>Προεξοφλημένη περίοδος αποπληρωμής (έτος)</t>
  </si>
  <si>
    <t>Προσθήκη / αφαίρεση γραμμών, πάνω από αυτή τη γραμμή, ανάλογα με τον αριθμό των δήμων</t>
  </si>
  <si>
    <t>Οικονομική ανάλυση δήμων-&gt;</t>
  </si>
  <si>
    <t>Αποτελέσματα ανάλυσης</t>
  </si>
  <si>
    <t>Ανάλυση ανά δήμο</t>
  </si>
  <si>
    <t>Ανάπτυξη δικτύου</t>
  </si>
  <si>
    <t>Ενεργές συνδέσεις</t>
  </si>
  <si>
    <t>Ενεργοί πελάτες</t>
  </si>
  <si>
    <t>Ανάλυση δήμων-&gt;</t>
  </si>
  <si>
    <t>Περιληπτικά αποτελέσματα ερευνών αγοράς / συμφωνιών και ανταγωνιστικότητας αερίου για περιοχές χωρίς σύνδεση στο δίκτυο διανομής</t>
  </si>
  <si>
    <t>Περιληπτικά αποτελέσματα ερευνών αγοράς / συμφωνιών - Αριθμός πελατών που εκδήλωσαν ενδιαφέρον</t>
  </si>
  <si>
    <t>Περιληπτικά αποτελέσματα ερευνών αγοράς / συμφωνιών - Κατανάλωση πελατών που εκδήλωσε ενδιαφέρον</t>
  </si>
  <si>
    <t>Εκτιμώμενο μοναδιαίο κόστος</t>
  </si>
  <si>
    <t>Φυσικό αέριο</t>
  </si>
  <si>
    <t>Εναλλακτικό καύσιμο 2</t>
  </si>
  <si>
    <t>Ανάλυση για νέους δήμους</t>
  </si>
  <si>
    <t>Μέση ετήσια κατανάλωση</t>
  </si>
  <si>
    <t>Ποσότητα αερίου</t>
  </si>
  <si>
    <t>Συνολικές ποσότητες αερίου</t>
  </si>
  <si>
    <t>Νέοι πελάτες για το Πρόγραμμα Ανάπτυξης</t>
  </si>
  <si>
    <t>Σύνολο για νέους πελάτες</t>
  </si>
  <si>
    <t>Κατανάλωση υφιστάμενων πελατών (με σύνδεση πριν το Πρόγραμμα Ανάπτυξης)</t>
  </si>
  <si>
    <t>Διανεμόμενες ποσότητες αερίου</t>
  </si>
  <si>
    <t>Παραδοχές μοναδαίου κόστους για υπολογισμό επενδύσεων</t>
  </si>
  <si>
    <t>Παραδοχές μοναδιαίου κόστους</t>
  </si>
  <si>
    <t>Προγραμματισμένες επενδύσεις στο Πρόγραμμα Ανάπτυξης</t>
  </si>
  <si>
    <t>Επενδύσεις ανάπτυξης / σύνδεσης</t>
  </si>
  <si>
    <t>Παραδοχές για τον υπολογισμό διείσδυσης αερίου και κάλυψης δικτύου</t>
  </si>
  <si>
    <t>Παραδοχές διείσδυσης - κάλυψης</t>
  </si>
  <si>
    <t>Δείκτες διείσδυσης - κάλυψης</t>
  </si>
  <si>
    <t>Εξέλιξη δεικτών απόδοσης του Προγράμματος Ανάπτυξης</t>
  </si>
  <si>
    <t>Στοιχεία συνολικού δικτύου</t>
  </si>
  <si>
    <t>Συνολικοί δείκτες απόδοσης</t>
  </si>
  <si>
    <t>Γενική περιγραφή δικτύου διανομής ανά δήμο / δημοτική ενότητα</t>
  </si>
  <si>
    <t>Δίκτυο διανομής ανά δήμο / δημοτική ενότητα</t>
  </si>
  <si>
    <t>Όχι</t>
  </si>
  <si>
    <t>Ναί</t>
  </si>
  <si>
    <t>Συμπεριλαμβάνεται στο Πρόγραμμα Ανάπτυξης</t>
  </si>
  <si>
    <t>* Στην περίπτωση "άλλου" τρόπου σύνδεσης (π.χ. συνδυασμό δύο διαφορετικών τρόπων σύνδεσης στην ίδια περιοχή) θα πρέπει να παρέχεται σχετική περιγραφή στα σχόλια</t>
  </si>
  <si>
    <t>Γενική περιγραφή</t>
  </si>
  <si>
    <t>Παροχετευτικοί αγωγοί</t>
  </si>
  <si>
    <t>Σύνολο επενδύσεων αναπτυξης &amp; σύνδεσης</t>
  </si>
  <si>
    <t>Επενδύσεις ανάπτυξης &amp; σύνδεσης*</t>
  </si>
  <si>
    <t>Καθαρή παρούσα αξία</t>
  </si>
  <si>
    <t>Καθαρή παρούσα αξία απαιτούμενου εσόδου</t>
  </si>
  <si>
    <t>Καθαρή παρούσα αξία ποσοτήτων αερίου</t>
  </si>
  <si>
    <t>Σύνολο ενεργών μετρητών</t>
  </si>
  <si>
    <t>Σύνολο ενεργών συνδέσεων</t>
  </si>
  <si>
    <t>Εμπορικοί</t>
  </si>
  <si>
    <t>Εμπορικοί**</t>
  </si>
  <si>
    <t>** Το CNG για αεριοκίνηση και φόρτωση βυτιοφόρων περιλαμβάνεται στους εμπορικούς πελάτες</t>
  </si>
  <si>
    <t>Ενεργοί μετρητές</t>
  </si>
  <si>
    <t>Ορισμοί</t>
  </si>
  <si>
    <t>Βαθμός διείσδυσης αερίου</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</si>
  <si>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</si>
  <si>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Πελάτης</t>
  </si>
  <si>
    <t>Ενεργός πελάτης / μετρητής/ σύνδεση</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</si>
  <si>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</si>
  <si>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</si>
  <si>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σύνδεσης κτηρίων</t>
  </si>
  <si>
    <t>Βαθμός μελέτης δικτύου</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</si>
  <si>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</si>
  <si>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</si>
  <si>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</si>
  <si>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</si>
  <si>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</si>
  <si>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</si>
  <si>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</si>
  <si>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</si>
  <si>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</si>
  <si>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</si>
  <si>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</si>
  <si>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Έργα Εξοικονόμησης Ενέργειας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</si>
  <si>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</si>
  <si>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Μέση χρέωση για υφιστάμενο δίκτυο  (χωρίς επενδύσεις και κόστη του Προγράμματος Ανάπτυξης)</t>
  </si>
  <si>
    <t>Υφιστάμενο δίκτυο σε λειτουργία</t>
  </si>
  <si>
    <t>* Για τους οικιακούς πελάτες, κάθε νοικοκυριό θεωρείται ως ξεχωριστός πελάτης</t>
  </si>
  <si>
    <t xml:space="preserve">Περιληπτικά αποτελέσματα ανάλυσης ανταγωνιστικότητας αερίου </t>
  </si>
  <si>
    <t>Οικιακοί – κύρια χρήση θέρμανση</t>
  </si>
  <si>
    <t>Οικιακοί – κύρια χρήση θέρμανση*</t>
  </si>
  <si>
    <t>Οικιακοί – ζεστό νερό ή/και μαγείρεμα</t>
  </si>
  <si>
    <t>Εμπορική χρήση</t>
  </si>
  <si>
    <t>Επαγγελματική χρήση – δημόσιες υπηρεσίες</t>
  </si>
  <si>
    <t>Κατανάλωση νέων πελατών που συνδέονται σε κάθε ετος του Προγράμματος Ανάπτυξης</t>
  </si>
  <si>
    <t>Κατανάλωση πελατών προηγούμενων ετών στο Πρόγραμμα ανάπτυξης</t>
  </si>
  <si>
    <t>Συνολική Κατανάλωση</t>
  </si>
  <si>
    <t>Πρόγραμμα ανάπτυξης δικτύου</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</si>
  <si>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</si>
  <si>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Πίσω στην αρχική σελίδα</t>
  </si>
  <si>
    <t>Στοιχεία επενδύσεων που περιλαμβάνει το Πρόγραμμα Ανάπτυξης</t>
  </si>
  <si>
    <t>Στοιχεία υφιστάμενου δικτύου</t>
  </si>
  <si>
    <t>Σύνολο Νέων πελατών που συνδέονται στη διάρκεια του Προγράμματος Ανάπτυξης</t>
  </si>
  <si>
    <t>Επαγγελματική χρήση - δημόσιες υπηρεσίες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</si>
  <si>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</si>
  <si>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</si>
  <si>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</si>
  <si>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</si>
  <si>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t>Κόστος προμήθειας</t>
  </si>
  <si>
    <t>Κόστος μεταφοράς</t>
  </si>
  <si>
    <t>Κόστος διανομής</t>
  </si>
  <si>
    <t>Κόστος σύνδεσης</t>
  </si>
  <si>
    <t>Κόστος εσωτερικής εγκατάστασης</t>
  </si>
  <si>
    <t>Άμεσοι και έμμεσοι φόροι</t>
  </si>
  <si>
    <t>Μετρητικοί &amp; ρυθμιστικοί σταθμοί 19/4</t>
  </si>
  <si>
    <t>Σύνολο ενεργών τελικών πελατών</t>
  </si>
  <si>
    <t>6. Δυνητικοί πελάτες &amp; δυνητικές συνδέσεις στο κατασκευασμένο δίκτυο</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</si>
  <si>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</si>
  <si>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3. Ενεργοί μετρητές ανά κατηγορία πελάτη</t>
  </si>
  <si>
    <t>4. Ενεργοί πελάτες ανά κατηγορία*</t>
  </si>
  <si>
    <t>5. Διανεμηθείσες ποσότητες αερίου ανά κατηγορία πελάτη</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</si>
  <si>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</si>
  <si>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</si>
  <si>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</si>
  <si>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</si>
  <si>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7. Δυνητικοί πελάτες &amp; δυνητικές συνδέσεις στο κατασκευασμένο δίκτυο</t>
  </si>
  <si>
    <t>8. Οδικό δίκτυο</t>
  </si>
  <si>
    <t>9. Επενδύσεις</t>
  </si>
  <si>
    <t>Οικονομική ανάλυση ανά δήμο</t>
  </si>
  <si>
    <t>7. Οδικό δίκτυο</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</si>
  <si>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</si>
  <si>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</si>
  <si>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</si>
  <si>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</si>
  <si>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</si>
  <si>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</si>
  <si>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</si>
  <si>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</si>
  <si>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</si>
  <si>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</si>
  <si>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</si>
  <si>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</si>
  <si>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</si>
  <si>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</si>
  <si>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2. Δείκτες για Πρόγραμμα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</si>
  <si>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</si>
  <si>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Πρόβλεψη</t>
  </si>
  <si>
    <t>Πρόγραμμα Ανάπτυξης</t>
  </si>
  <si>
    <t>Απολογιστικά Στοιχεία</t>
  </si>
  <si>
    <t>Πρόργραμμα Ανάπτυξης</t>
  </si>
  <si>
    <t>Σύνοψη αποτελεσμάτων οικονομικής ανάλυσης ανά δήμο</t>
  </si>
  <si>
    <t>Σχόλια</t>
  </si>
  <si>
    <t>Τρόπος τροφοδοσίας με φυσικό αέριο*</t>
  </si>
  <si>
    <t>Από Μ/R σημείο εξόδου του ΕΣΜΦΑ</t>
  </si>
  <si>
    <t>Από M/R με σύνδεση στο δίκτυο Μ.Π. του Διαχειριστή</t>
  </si>
  <si>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</si>
  <si>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</si>
  <si>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Εικονικό Δίκτυο με συμπιεστή τροφοδοτούμενο από το ΕΣΜΦΑ</t>
  </si>
  <si>
    <t>Εικονικό Δίκτυο με Δεξαμενές αποθήκευσης LNG</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</si>
  <si>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</si>
  <si>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</si>
  <si>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</si>
  <si>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€/έτος</t>
  </si>
  <si>
    <t>Πρόβλεψη*</t>
  </si>
  <si>
    <t>* Η πρόβλεψη περιλαμβάνει απολογιστικά στοιχεία για Ιανουάριο - Σεπτέμβριο κα εκτίμηση για Οκτώβριο - Δεκέμβριο</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</si>
  <si>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</si>
  <si>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</si>
  <si>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</si>
  <si>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Ανάλυση για νέους πελάτες</t>
  </si>
  <si>
    <t>Δήμος Δεσκάτης</t>
  </si>
  <si>
    <t>Δήμος Παιονίας</t>
  </si>
  <si>
    <t>Δήμος Πολυγύρου</t>
  </si>
  <si>
    <t>Δήμος Έδεσσας</t>
  </si>
  <si>
    <t>Δήμος Νάουσας</t>
  </si>
  <si>
    <t>Δήμος Σκύδρας</t>
  </si>
  <si>
    <t>Δήμος Τριπόλεως</t>
  </si>
  <si>
    <t>Δήμος Κορίνθου</t>
  </si>
  <si>
    <t>Δήμος Μεγαλόπολης</t>
  </si>
  <si>
    <r>
      <t xml:space="preserve">Οικονομική ανάλυση </t>
    </r>
    <r>
      <rPr>
        <b/>
        <sz val="12"/>
        <color rgb="FFFFFF00"/>
        <rFont val="Calibri"/>
        <family val="2"/>
        <scheme val="minor"/>
      </rPr>
      <t>&lt;Δήμος Δεσκάτης&gt;</t>
    </r>
  </si>
  <si>
    <r>
      <t xml:space="preserve">Οικονομική ανάλυση </t>
    </r>
    <r>
      <rPr>
        <b/>
        <sz val="12"/>
        <color rgb="FFFFFF00"/>
        <rFont val="Calibri"/>
        <family val="2"/>
        <scheme val="minor"/>
      </rPr>
      <t>&lt;Δήμος Παιονίας&gt;</t>
    </r>
  </si>
  <si>
    <r>
      <t xml:space="preserve">Οικονομική ανάλυση </t>
    </r>
    <r>
      <rPr>
        <b/>
        <sz val="12"/>
        <color rgb="FFFFFF00"/>
        <rFont val="Calibri"/>
        <family val="2"/>
        <scheme val="minor"/>
      </rPr>
      <t>&lt;Δήμος Πολυγύρου&gt;</t>
    </r>
  </si>
  <si>
    <r>
      <t xml:space="preserve">Οικονομική ανάλυση </t>
    </r>
    <r>
      <rPr>
        <b/>
        <sz val="12"/>
        <color rgb="FFFFFF00"/>
        <rFont val="Calibri"/>
        <family val="2"/>
        <scheme val="minor"/>
      </rPr>
      <t>&lt;Δήμος Έδεσσας&gt;</t>
    </r>
  </si>
  <si>
    <r>
      <t xml:space="preserve">Οικονομική ανάλυση </t>
    </r>
    <r>
      <rPr>
        <b/>
        <sz val="12"/>
        <color rgb="FFFFFF00"/>
        <rFont val="Calibri"/>
        <family val="2"/>
        <scheme val="minor"/>
      </rPr>
      <t>&lt;Δήμος Νάουσας&gt;</t>
    </r>
  </si>
  <si>
    <r>
      <t xml:space="preserve">Οικονομική ανάλυση </t>
    </r>
    <r>
      <rPr>
        <b/>
        <sz val="12"/>
        <color rgb="FFFFFF00"/>
        <rFont val="Calibri"/>
        <family val="2"/>
        <scheme val="minor"/>
      </rPr>
      <t>&lt;Δήμος Σκύδρας&gt;</t>
    </r>
  </si>
  <si>
    <r>
      <t xml:space="preserve">Οικονομική ανάλυση </t>
    </r>
    <r>
      <rPr>
        <b/>
        <sz val="12"/>
        <color rgb="FFFFFF00"/>
        <rFont val="Calibri"/>
        <family val="2"/>
        <scheme val="minor"/>
      </rPr>
      <t>&lt;Δήμος Τριπόλεως&gt;</t>
    </r>
  </si>
  <si>
    <r>
      <t xml:space="preserve">Οικονομική ανάλυση </t>
    </r>
    <r>
      <rPr>
        <b/>
        <sz val="12"/>
        <color rgb="FFFFFF00"/>
        <rFont val="Calibri"/>
        <family val="2"/>
        <scheme val="minor"/>
      </rPr>
      <t>&lt;Δήμος Κορίνθου&gt;</t>
    </r>
  </si>
  <si>
    <r>
      <t xml:space="preserve">Οικονομική ανάλυση </t>
    </r>
    <r>
      <rPr>
        <b/>
        <sz val="12"/>
        <color rgb="FFFFFF00"/>
        <rFont val="Calibri"/>
        <family val="2"/>
        <scheme val="minor"/>
      </rPr>
      <t>&lt;Δήμος Μεγαλόπολης&gt;</t>
    </r>
  </si>
  <si>
    <t>Σύνολο Καθαρή παρούσα αξία</t>
  </si>
  <si>
    <t>HENGAS</t>
  </si>
  <si>
    <t>ΠΕΤΡΕΛΑΙΟ</t>
  </si>
  <si>
    <t>Δήμος Βοίου</t>
  </si>
  <si>
    <t>Δήμος Σερβίων</t>
  </si>
  <si>
    <t>Δήμος Καλαμάτας</t>
  </si>
  <si>
    <t>Δήμος Βελβεντού</t>
  </si>
  <si>
    <t>Δήμος Σπάρτης</t>
  </si>
  <si>
    <t>,</t>
  </si>
  <si>
    <r>
      <t xml:space="preserve">Οικονομική ανάλυση </t>
    </r>
    <r>
      <rPr>
        <b/>
        <sz val="12"/>
        <color rgb="FFFFFF00"/>
        <rFont val="Calibri"/>
        <family val="2"/>
        <scheme val="minor"/>
      </rPr>
      <t>&lt;Δήμος Βελβεντού&gt;</t>
    </r>
  </si>
  <si>
    <r>
      <t xml:space="preserve">Οικονομική ανάλυση </t>
    </r>
    <r>
      <rPr>
        <b/>
        <sz val="12"/>
        <color rgb="FFFFFF00"/>
        <rFont val="Calibri"/>
        <family val="2"/>
        <scheme val="minor"/>
      </rPr>
      <t>&lt;Δήμος Βοιου&gt;</t>
    </r>
  </si>
  <si>
    <r>
      <t xml:space="preserve">Οικονομική ανάλυση </t>
    </r>
    <r>
      <rPr>
        <b/>
        <sz val="12"/>
        <color rgb="FFFFFF00"/>
        <rFont val="Calibri"/>
        <family val="2"/>
        <scheme val="minor"/>
      </rPr>
      <t>&lt;Δήμος Σέρβια&gt;</t>
    </r>
  </si>
  <si>
    <r>
      <t xml:space="preserve">Οικονομική ανάλυση </t>
    </r>
    <r>
      <rPr>
        <b/>
        <sz val="12"/>
        <color rgb="FFFFFF00"/>
        <rFont val="Calibri"/>
        <family val="2"/>
        <scheme val="minor"/>
      </rPr>
      <t>&lt;Δήμος Καλαμάτα&gt;</t>
    </r>
  </si>
  <si>
    <r>
      <t xml:space="preserve">Οικονομική ανάλυση </t>
    </r>
    <r>
      <rPr>
        <b/>
        <sz val="12"/>
        <color rgb="FFFFFF00"/>
        <rFont val="Calibri"/>
        <family val="2"/>
        <scheme val="minor"/>
      </rPr>
      <t>&lt;Δήμος Σπάρτης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</si>
</sst>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_-;\-* #,##0_-;_-* &quot;-&quot;??_-;_-@_-"/>
    <numFmt numFmtId="165" formatCode="0.000%"/>
    <numFmt numFmtId="166" formatCode="_-* #,##0.000_-;\-* #,##0.000_-;_-* &quot;-&quot;??_-;_-@_-"/>
    <numFmt numFmtId="167" formatCode="\ #,##0_);[Red]\(#,##0\);\-_);@_)"/>
    <numFmt numFmtId="168" formatCode="#,##0.0_);\(#,##0.0\)\,0.0_);@_)"/>
    <numFmt numFmtId="169" formatCode="#,##0.0_);[Red]\(#,##0.0\)_);0.00_);@_)"/>
    <numFmt numFmtId="170" formatCode="#,##0.0_);\(#,##0.0\);0.0_);@_)"/>
    <numFmt numFmtId="171" formatCode="[$-409]dd\-mmm\-yy;@"/>
    <numFmt numFmtId="172" formatCode="[$-409]mmm\-yy;@"/>
    <numFmt numFmtId="173" formatCode="\ ###0_);\(###0\)_);\-_)\ \ ;@_)"/>
    <numFmt numFmtId="174" formatCode="#,##0.0_);[Red]\(#,##0.0\)_);0.0_);@_)"/>
    <numFmt numFmtId="175" formatCode="#,##0.000000_ ;\-#,##0.000000\ "/>
    <numFmt numFmtId="176" formatCode="_-* #,##0.00\ _€_-;\-* #,##0.00\ _€_-;_-* &quot;-&quot;??\ _€_-;_-@_-"/>
    <numFmt numFmtId="177" formatCode="#,##0.000_ ;\-#,##0.000\ "/>
  </numFmts>
  <fonts count="47"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sz val="14"/>
      <color theme="1"/>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u/>
      <sz val="12"/>
      <color theme="10"/>
      <name val="Calibri"/>
      <family val="2"/>
      <scheme val="minor"/>
    </font>
    <font>
      <b/>
      <sz val="11"/>
      <color theme="2" tint="-0.249977111117893"/>
      <name val="Calibri"/>
      <family val="2"/>
      <scheme val="minor"/>
    </font>
    <font>
      <sz val="8"/>
      <name val="Calibri"/>
      <family val="2"/>
      <scheme val="minor"/>
    </font>
    <font>
      <sz val="11"/>
      <color rgb="FF085393"/>
      <name val="Calibri"/>
      <family val="2"/>
      <scheme val="minor"/>
    </font>
    <font>
      <sz val="11"/>
      <color rgb="FF0000FF"/>
      <name val="Calibri"/>
      <family val="2"/>
      <scheme val="minor"/>
    </font>
    <font>
      <sz val="11"/>
      <color theme="0" tint="-0.24994659260841701"/>
      <name val="Calibri"/>
      <family val="2"/>
      <scheme val="minor"/>
    </font>
    <font>
      <i/>
      <sz val="11"/>
      <color rgb="FFFF0000"/>
      <name val="Calibri"/>
      <family val="2"/>
      <scheme val="minor"/>
    </font>
    <font>
      <sz val="11"/>
      <color theme="1" tint="0.24994659260841701"/>
      <name val="Calibri"/>
      <family val="2"/>
      <scheme val="minor"/>
    </font>
    <font>
      <b/>
      <sz val="14"/>
      <color theme="1" tint="0.24994659260841701"/>
      <name val="Calibri"/>
      <family val="2"/>
      <charset val="161"/>
      <scheme val="minor"/>
    </font>
    <font>
      <sz val="11"/>
      <color rgb="FF000000"/>
      <name val="Calibri"/>
      <family val="2"/>
      <charset val="161"/>
    </font>
    <font>
      <b/>
      <i/>
      <sz val="11"/>
      <color rgb="FFFFFFFF"/>
      <name val="Calibri"/>
      <family val="2"/>
    </font>
    <font>
      <b/>
      <sz val="11"/>
      <color rgb="FF000000"/>
      <name val="Calibri"/>
      <family val="2"/>
    </font>
    <font>
      <sz val="11"/>
      <color theme="1"/>
      <name val="Calibri"/>
      <family val="2"/>
    </font>
    <font>
      <b/>
      <sz val="12"/>
      <name val="Calibri"/>
      <family val="2"/>
      <scheme val="minor"/>
    </font>
    <font>
      <sz val="9"/>
      <color theme="1"/>
      <name val="Calibri"/>
      <family val="2"/>
      <charset val="161"/>
      <scheme val="minor"/>
    </font>
    <font>
      <sz val="10"/>
      <color theme="1"/>
      <name val="Calibri"/>
      <family val="2"/>
      <charset val="161"/>
      <scheme val="minor"/>
    </font>
    <font>
      <sz val="10"/>
      <color indexed="64"/>
      <name val="Arial"/>
      <family val="2"/>
      <charset val="161"/>
    </font>
    <font>
      <b/>
      <sz val="15"/>
      <color theme="1"/>
      <name val="Calibri"/>
      <family val="2"/>
      <scheme val="minor"/>
    </font>
    <font>
      <b/>
      <i/>
      <sz val="15"/>
      <color theme="1"/>
      <name val="Calibri"/>
      <family val="2"/>
      <scheme val="minor"/>
    </font>
    <font>
      <b/>
      <sz val="15"/>
      <color theme="0"/>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C8"/>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rgb="FFC0C0C0"/>
        <bgColor indexed="64"/>
      </patternFill>
    </fill>
    <fill>
      <patternFill patternType="solid">
        <fgColor rgb="FFFFFF66"/>
        <bgColor indexed="64"/>
      </patternFill>
    </fill>
    <fill>
      <patternFill patternType="solid">
        <fgColor rgb="FFFF9999"/>
        <bgColor indexed="64"/>
      </patternFill>
    </fill>
    <fill>
      <patternFill patternType="solid">
        <fgColor rgb="FF808080"/>
        <bgColor rgb="FF000000"/>
      </patternFill>
    </fill>
    <fill>
      <patternFill patternType="solid">
        <fgColor rgb="FFF2F2F2"/>
        <bgColor rgb="FF000000"/>
      </patternFill>
    </fill>
    <fill>
      <patternFill patternType="solid">
        <fgColor rgb="FFD9E1F2"/>
        <bgColor rgb="FF000000"/>
      </patternFill>
    </fill>
    <fill>
      <patternFill patternType="solid">
        <fgColor rgb="FFD9D9D9"/>
        <bgColor rgb="FF000000"/>
      </patternFill>
    </fill>
    <fill>
      <patternFill patternType="solid">
        <fgColor rgb="FFFFFF00"/>
        <bgColor rgb="FF000000"/>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s>
  <cellStyleXfs count="23">
    <xf numFmtId="0" fontId="0" fillId="0" borderId="0"/>
    <xf numFmtId="43"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2" fillId="0" borderId="0"/>
    <xf numFmtId="3" fontId="3" fillId="10" borderId="2" applyProtection="0">
      <alignment vertical="center"/>
      <protection locked="0"/>
    </xf>
    <xf numFmtId="3" fontId="3" fillId="11" borderId="2" applyProtection="0">
      <alignment vertical="center"/>
      <protection locked="0"/>
    </xf>
    <xf numFmtId="3" fontId="3" fillId="12" borderId="2" applyProtection="0">
      <alignment vertical="center"/>
      <protection locked="0"/>
    </xf>
    <xf numFmtId="169" fontId="4" fillId="13" borderId="2" applyProtection="0">
      <alignment vertical="center"/>
      <protection locked="0"/>
    </xf>
    <xf numFmtId="38" fontId="31" fillId="0" borderId="2" applyProtection="0">
      <alignment readingOrder="1"/>
    </xf>
    <xf numFmtId="168" fontId="30" fillId="15" borderId="0" applyNumberFormat="0" applyFont="0" applyBorder="0" applyAlignment="0" applyProtection="0">
      <alignment vertical="top"/>
    </xf>
    <xf numFmtId="170" fontId="32" fillId="14" borderId="0" applyNumberFormat="0" applyBorder="0" applyAlignment="0" applyProtection="0"/>
    <xf numFmtId="38" fontId="33" fillId="0" borderId="0" applyAlignment="0" applyProtection="0"/>
    <xf numFmtId="0" fontId="35" fillId="13" borderId="12" applyProtection="0">
      <alignment vertical="center"/>
    </xf>
    <xf numFmtId="167" fontId="14" fillId="0" borderId="0" applyNumberFormat="0" applyFill="0" applyBorder="0" applyAlignment="0" applyProtection="0"/>
    <xf numFmtId="171" fontId="3" fillId="0" borderId="0" applyFont="0" applyFill="0" applyBorder="0" applyAlignment="0" applyProtection="0"/>
    <xf numFmtId="172" fontId="34" fillId="0" borderId="0" applyFont="0" applyFill="0" applyBorder="0" applyAlignment="0" applyProtection="0"/>
    <xf numFmtId="9" fontId="3" fillId="0" borderId="0" applyFont="0" applyFill="0" applyBorder="0" applyAlignment="0" applyProtection="0"/>
    <xf numFmtId="173" fontId="34" fillId="0" borderId="0" applyFont="0" applyFill="0" applyBorder="0" applyAlignment="0" applyProtection="0">
      <alignment vertical="center"/>
    </xf>
    <xf numFmtId="174" fontId="24"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3" fillId="0" borderId="0"/>
  </cellStyleXfs>
  <cellXfs count="475">
    <xf numFmtId="0" fontId="0" fillId="0" borderId="0" xfId="0"/>
    <xf numFmtId="0" fontId="6" fillId="0" borderId="1" xfId="0" applyFont="1" applyBorder="1"/>
    <xf numFmtId="0" fontId="6" fillId="0" borderId="0" xfId="0" applyFont="1"/>
    <xf numFmtId="0" fontId="0" fillId="0" borderId="2" xfId="0" applyBorder="1"/>
    <xf numFmtId="164" fontId="0" fillId="2" borderId="2" xfId="1" applyNumberFormat="1" applyFont="1" applyFill="1" applyBorder="1" applyAlignment="1">
      <alignment horizontal="center"/>
    </xf>
    <xf numFmtId="0" fontId="7" fillId="0" borderId="5" xfId="0" applyFont="1" applyBorder="1"/>
    <xf numFmtId="164" fontId="0" fillId="2" borderId="5" xfId="1" applyNumberFormat="1" applyFont="1" applyFill="1" applyBorder="1" applyAlignment="1">
      <alignment horizontal="center"/>
    </xf>
    <xf numFmtId="0" fontId="7" fillId="0" borderId="6" xfId="0" applyFont="1" applyBorder="1"/>
    <xf numFmtId="164" fontId="0" fillId="2" borderId="6" xfId="1" applyNumberFormat="1" applyFont="1" applyFill="1" applyBorder="1" applyAlignment="1">
      <alignment horizontal="center"/>
    </xf>
    <xf numFmtId="0" fontId="4" fillId="5" borderId="2" xfId="0" applyFont="1" applyFill="1" applyBorder="1" applyAlignment="1">
      <alignment horizontal="center"/>
    </xf>
    <xf numFmtId="0" fontId="0" fillId="0" borderId="2" xfId="0" applyBorder="1" applyAlignment="1">
      <alignment vertical="center" wrapText="1"/>
    </xf>
    <xf numFmtId="0" fontId="0" fillId="0" borderId="2" xfId="0" applyBorder="1" applyAlignment="1">
      <alignment horizontal="center" vertical="center" wrapText="1"/>
    </xf>
    <xf numFmtId="0" fontId="7" fillId="0" borderId="2" xfId="0" applyFont="1" applyBorder="1" applyAlignment="1">
      <alignment horizontal="center"/>
    </xf>
    <xf numFmtId="0" fontId="7" fillId="0" borderId="10" xfId="0" applyFont="1" applyBorder="1"/>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10" fillId="0" borderId="0" xfId="0" applyFont="1"/>
    <xf numFmtId="0" fontId="0" fillId="0" borderId="3" xfId="0" applyBorder="1"/>
    <xf numFmtId="0" fontId="0" fillId="0" borderId="2" xfId="0" applyBorder="1" applyAlignment="1">
      <alignment vertical="center"/>
    </xf>
    <xf numFmtId="0" fontId="8" fillId="4" borderId="0" xfId="0" applyFont="1" applyFill="1"/>
    <xf numFmtId="0" fontId="7" fillId="0" borderId="2" xfId="0" applyFont="1" applyBorder="1" applyAlignment="1">
      <alignment horizontal="center" vertical="center"/>
    </xf>
    <xf numFmtId="0" fontId="0" fillId="0" borderId="0" xfId="0" applyAlignment="1">
      <alignment horizontal="left" vertical="center"/>
    </xf>
    <xf numFmtId="0" fontId="7" fillId="0" borderId="0" xfId="0" applyFont="1"/>
    <xf numFmtId="0" fontId="7"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0" fillId="0" borderId="2" xfId="0"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left" vertical="center"/>
    </xf>
    <xf numFmtId="164" fontId="0" fillId="3" borderId="6" xfId="1" applyNumberFormat="1" applyFont="1" applyFill="1" applyBorder="1" applyAlignment="1">
      <alignment horizontal="center"/>
    </xf>
    <xf numFmtId="164" fontId="0" fillId="3" borderId="5" xfId="1" applyNumberFormat="1" applyFont="1" applyFill="1" applyBorder="1" applyAlignment="1">
      <alignment horizontal="center"/>
    </xf>
    <xf numFmtId="43" fontId="0" fillId="0" borderId="0" xfId="0" applyNumberFormat="1"/>
    <xf numFmtId="164" fontId="0" fillId="0" borderId="2" xfId="1" applyNumberFormat="1" applyFont="1" applyBorder="1" applyAlignment="1">
      <alignment horizontal="center" vertical="center"/>
    </xf>
    <xf numFmtId="164" fontId="0" fillId="2" borderId="2" xfId="1" applyNumberFormat="1" applyFont="1" applyFill="1" applyBorder="1"/>
    <xf numFmtId="165" fontId="0" fillId="0" borderId="2" xfId="2" applyNumberFormat="1" applyFont="1" applyBorder="1" applyAlignment="1">
      <alignment horizontal="center" vertical="center"/>
    </xf>
    <xf numFmtId="10" fontId="0" fillId="0" borderId="2" xfId="0" applyNumberFormat="1" applyBorder="1" applyAlignment="1">
      <alignment horizontal="center" vertical="center"/>
    </xf>
    <xf numFmtId="0" fontId="4" fillId="0" borderId="2" xfId="0" applyFont="1" applyBorder="1" applyAlignment="1">
      <alignment horizontal="center" vertical="center"/>
    </xf>
    <xf numFmtId="164" fontId="0" fillId="0" borderId="0" xfId="0" applyNumberFormat="1"/>
    <xf numFmtId="9" fontId="0" fillId="2" borderId="2" xfId="2" applyFont="1" applyFill="1" applyBorder="1"/>
    <xf numFmtId="0" fontId="4" fillId="0" borderId="2" xfId="0" applyFont="1" applyBorder="1"/>
    <xf numFmtId="10" fontId="4" fillId="0" borderId="3" xfId="0" applyNumberFormat="1" applyFont="1" applyBorder="1" applyAlignment="1">
      <alignment horizontal="center" vertical="center"/>
    </xf>
    <xf numFmtId="0" fontId="4" fillId="0" borderId="2" xfId="0" applyFont="1" applyBorder="1" applyAlignment="1">
      <alignment horizontal="center"/>
    </xf>
    <xf numFmtId="10" fontId="4" fillId="0" borderId="0" xfId="0" applyNumberFormat="1" applyFont="1" applyAlignment="1">
      <alignment horizontal="center" vertical="center"/>
    </xf>
    <xf numFmtId="164" fontId="4" fillId="0" borderId="0" xfId="0" applyNumberFormat="1" applyFont="1"/>
    <xf numFmtId="0" fontId="11" fillId="2" borderId="0" xfId="0" applyFont="1" applyFill="1" applyAlignment="1">
      <alignment horizontal="center" vertical="center"/>
    </xf>
    <xf numFmtId="0" fontId="11" fillId="0" borderId="0" xfId="0" applyFont="1" applyAlignment="1">
      <alignment horizontal="center" vertical="center"/>
    </xf>
    <xf numFmtId="0" fontId="0" fillId="0" borderId="3" xfId="0" applyBorder="1" applyAlignment="1">
      <alignment horizontal="center"/>
    </xf>
    <xf numFmtId="0" fontId="0" fillId="0" borderId="8" xfId="0" applyBorder="1" applyAlignment="1">
      <alignment horizontal="left" vertical="center"/>
    </xf>
    <xf numFmtId="0" fontId="4"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3" fillId="2" borderId="5" xfId="1" applyNumberFormat="1" applyFont="1" applyFill="1" applyBorder="1" applyAlignment="1">
      <alignment horizontal="center"/>
    </xf>
    <xf numFmtId="0" fontId="12" fillId="0" borderId="0" xfId="0" applyFont="1"/>
    <xf numFmtId="0" fontId="0" fillId="0" borderId="2" xfId="0" applyBorder="1" applyAlignment="1">
      <alignment horizontal="center"/>
    </xf>
    <xf numFmtId="0" fontId="9" fillId="0" borderId="0" xfId="0" applyFont="1"/>
    <xf numFmtId="0" fontId="4" fillId="5" borderId="7" xfId="0" applyFont="1" applyFill="1" applyBorder="1" applyAlignment="1">
      <alignment vertical="center" wrapText="1"/>
    </xf>
    <xf numFmtId="0" fontId="10" fillId="0" borderId="0" xfId="0" applyFont="1" applyAlignment="1">
      <alignment horizontal="left" wrapText="1"/>
    </xf>
    <xf numFmtId="0" fontId="4" fillId="5" borderId="2" xfId="0" applyFont="1" applyFill="1" applyBorder="1" applyAlignment="1">
      <alignment horizontal="center" wrapText="1"/>
    </xf>
    <xf numFmtId="0" fontId="13" fillId="0" borderId="0" xfId="0" applyFont="1"/>
    <xf numFmtId="0" fontId="4" fillId="5" borderId="16" xfId="0" applyFont="1" applyFill="1" applyBorder="1" applyAlignment="1">
      <alignment horizontal="left" vertical="center" wrapText="1"/>
    </xf>
    <xf numFmtId="0" fontId="4" fillId="5" borderId="3" xfId="0" applyFont="1" applyFill="1" applyBorder="1" applyAlignment="1">
      <alignment horizontal="center" vertical="center"/>
    </xf>
    <xf numFmtId="0" fontId="0" fillId="0" borderId="19"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2" fillId="2" borderId="30" xfId="1" applyNumberFormat="1" applyFont="1" applyFill="1" applyBorder="1" applyAlignment="1">
      <alignment horizontal="center"/>
    </xf>
    <xf numFmtId="164" fontId="12" fillId="2" borderId="29" xfId="1" applyNumberFormat="1" applyFont="1" applyFill="1" applyBorder="1" applyAlignment="1">
      <alignment horizontal="center"/>
    </xf>
    <xf numFmtId="0" fontId="9" fillId="6" borderId="13" xfId="0" applyFont="1" applyFill="1" applyBorder="1" applyAlignment="1">
      <alignment horizontal="left"/>
    </xf>
    <xf numFmtId="0" fontId="9" fillId="6" borderId="1" xfId="0" applyFont="1" applyFill="1" applyBorder="1" applyAlignment="1">
      <alignment horizontal="left"/>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7"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7" xfId="0" applyFont="1" applyFill="1" applyBorder="1" applyAlignment="1">
      <alignment horizontal="left" vertical="center" wrapText="1"/>
    </xf>
    <xf numFmtId="164" fontId="3" fillId="2" borderId="7" xfId="1" applyNumberFormat="1" applyFont="1" applyFill="1" applyBorder="1" applyAlignment="1">
      <alignment horizontal="center"/>
    </xf>
    <xf numFmtId="164" fontId="3" fillId="2" borderId="30" xfId="1" applyNumberFormat="1" applyFont="1" applyFill="1" applyBorder="1" applyAlignment="1">
      <alignment horizontal="center"/>
    </xf>
    <xf numFmtId="164" fontId="3" fillId="2" borderId="29" xfId="1" applyNumberFormat="1" applyFont="1" applyFill="1" applyBorder="1" applyAlignment="1">
      <alignment horizontal="center"/>
    </xf>
    <xf numFmtId="164" fontId="3" fillId="2" borderId="20" xfId="1" applyNumberFormat="1" applyFont="1" applyFill="1" applyBorder="1" applyAlignment="1">
      <alignment horizontal="center"/>
    </xf>
    <xf numFmtId="164" fontId="3" fillId="2" borderId="21" xfId="1" applyNumberFormat="1" applyFont="1" applyFill="1" applyBorder="1" applyAlignment="1">
      <alignment horizontal="center"/>
    </xf>
    <xf numFmtId="0" fontId="4" fillId="5" borderId="20" xfId="0" quotePrefix="1" applyFont="1" applyFill="1" applyBorder="1" applyAlignment="1">
      <alignment horizontal="center"/>
    </xf>
    <xf numFmtId="0" fontId="4" fillId="5" borderId="32" xfId="0" applyFont="1" applyFill="1" applyBorder="1" applyAlignment="1">
      <alignment horizontal="center"/>
    </xf>
    <xf numFmtId="164" fontId="0" fillId="2" borderId="34" xfId="1" applyNumberFormat="1" applyFont="1" applyFill="1" applyBorder="1" applyAlignment="1">
      <alignment horizontal="center"/>
    </xf>
    <xf numFmtId="164" fontId="0" fillId="2" borderId="32" xfId="1" applyNumberFormat="1" applyFont="1" applyFill="1" applyBorder="1" applyAlignment="1">
      <alignment horizontal="center"/>
    </xf>
    <xf numFmtId="164" fontId="0" fillId="2" borderId="35" xfId="1" applyNumberFormat="1" applyFont="1" applyFill="1" applyBorder="1" applyAlignment="1">
      <alignment horizontal="center"/>
    </xf>
    <xf numFmtId="0" fontId="4" fillId="5" borderId="21" xfId="0" quotePrefix="1" applyFont="1" applyFill="1" applyBorder="1" applyAlignment="1">
      <alignment horizontal="center" wrapText="1"/>
    </xf>
    <xf numFmtId="164" fontId="0" fillId="2" borderId="33" xfId="1" applyNumberFormat="1" applyFont="1" applyFill="1" applyBorder="1" applyAlignment="1">
      <alignment horizontal="center"/>
    </xf>
    <xf numFmtId="164" fontId="0" fillId="2" borderId="20" xfId="0" applyNumberFormat="1" applyFill="1" applyBorder="1"/>
    <xf numFmtId="164" fontId="0" fillId="2" borderId="21" xfId="0" applyNumberFormat="1" applyFill="1" applyBorder="1"/>
    <xf numFmtId="164" fontId="12" fillId="2" borderId="20" xfId="0" applyNumberFormat="1" applyFont="1" applyFill="1" applyBorder="1"/>
    <xf numFmtId="164" fontId="12" fillId="2" borderId="21" xfId="0" applyNumberFormat="1" applyFont="1" applyFill="1" applyBorder="1"/>
    <xf numFmtId="164" fontId="3" fillId="2" borderId="23" xfId="1" applyNumberFormat="1" applyFont="1" applyFill="1" applyBorder="1" applyAlignment="1">
      <alignment horizontal="center"/>
    </xf>
    <xf numFmtId="164" fontId="3" fillId="2" borderId="34" xfId="1" applyNumberFormat="1" applyFont="1" applyFill="1" applyBorder="1" applyAlignment="1">
      <alignment horizontal="center"/>
    </xf>
    <xf numFmtId="164" fontId="12" fillId="2" borderId="34" xfId="1" applyNumberFormat="1" applyFont="1" applyFill="1" applyBorder="1" applyAlignment="1">
      <alignment horizontal="center"/>
    </xf>
    <xf numFmtId="0" fontId="7" fillId="0" borderId="3" xfId="0" applyFont="1" applyBorder="1" applyAlignment="1">
      <alignment horizontal="center"/>
    </xf>
    <xf numFmtId="0" fontId="4" fillId="5" borderId="32" xfId="0" applyFont="1" applyFill="1" applyBorder="1" applyAlignment="1">
      <alignment horizontal="center" vertical="center"/>
    </xf>
    <xf numFmtId="0" fontId="4" fillId="5" borderId="32" xfId="0" applyFont="1" applyFill="1" applyBorder="1" applyAlignment="1">
      <alignment horizontal="center" wrapText="1"/>
    </xf>
    <xf numFmtId="0" fontId="16" fillId="0" borderId="1" xfId="0" applyFont="1" applyBorder="1"/>
    <xf numFmtId="0" fontId="17" fillId="0" borderId="0" xfId="3" quotePrefix="1" applyFont="1" applyAlignment="1">
      <alignment horizontal="right"/>
    </xf>
    <xf numFmtId="0" fontId="18" fillId="0" borderId="0" xfId="3" quotePrefix="1" applyFont="1" applyAlignment="1">
      <alignment horizontal="left"/>
    </xf>
    <xf numFmtId="0" fontId="19" fillId="0" borderId="1" xfId="0" applyFont="1" applyBorder="1" applyAlignment="1">
      <alignment horizontal="left"/>
    </xf>
    <xf numFmtId="0" fontId="19" fillId="0" borderId="0" xfId="0" applyFont="1" applyAlignment="1">
      <alignment horizontal="left"/>
    </xf>
    <xf numFmtId="0" fontId="20" fillId="0" borderId="1" xfId="0" applyFont="1" applyBorder="1"/>
    <xf numFmtId="0" fontId="0" fillId="0" borderId="1" xfId="0" applyBorder="1"/>
    <xf numFmtId="0" fontId="11" fillId="0" borderId="0" xfId="0" applyFont="1" applyAlignment="1">
      <alignment horizontal="left" vertical="center"/>
    </xf>
    <xf numFmtId="0" fontId="21" fillId="0" borderId="1" xfId="0" applyFont="1" applyBorder="1"/>
    <xf numFmtId="0" fontId="9" fillId="0" borderId="1" xfId="0" applyFont="1" applyBorder="1"/>
    <xf numFmtId="0" fontId="7" fillId="0" borderId="1" xfId="0" applyFont="1" applyBorder="1"/>
    <xf numFmtId="0" fontId="8" fillId="0" borderId="0" xfId="0" applyFont="1"/>
    <xf numFmtId="0" fontId="8" fillId="0" borderId="11" xfId="0" applyFont="1" applyBorder="1"/>
    <xf numFmtId="0" fontId="7" fillId="5" borderId="2" xfId="0" applyFont="1" applyFill="1" applyBorder="1" applyAlignment="1">
      <alignment horizontal="center" wrapText="1"/>
    </xf>
    <xf numFmtId="0" fontId="10" fillId="0" borderId="1" xfId="0" applyFont="1" applyBorder="1"/>
    <xf numFmtId="164" fontId="7" fillId="0" borderId="2" xfId="1" applyNumberFormat="1" applyFont="1" applyBorder="1" applyAlignment="1">
      <alignment horizontal="center" vertical="center"/>
    </xf>
    <xf numFmtId="164" fontId="5" fillId="3" borderId="2" xfId="1" applyNumberFormat="1" applyFont="1" applyFill="1" applyBorder="1"/>
    <xf numFmtId="165" fontId="7" fillId="0" borderId="2" xfId="2" applyNumberFormat="1" applyFont="1" applyBorder="1" applyAlignment="1">
      <alignment horizontal="center" vertical="center"/>
    </xf>
    <xf numFmtId="0" fontId="23" fillId="0" borderId="2" xfId="0" applyFont="1" applyBorder="1"/>
    <xf numFmtId="0" fontId="0" fillId="0" borderId="2" xfId="0" applyBorder="1" applyAlignment="1">
      <alignment horizontal="left"/>
    </xf>
    <xf numFmtId="0" fontId="10" fillId="0" borderId="0" xfId="0" applyFont="1" applyAlignment="1">
      <alignment horizontal="left"/>
    </xf>
    <xf numFmtId="10" fontId="7" fillId="0" borderId="2" xfId="0" applyNumberFormat="1" applyFont="1" applyBorder="1" applyAlignment="1">
      <alignment horizontal="center" vertical="center"/>
    </xf>
    <xf numFmtId="10" fontId="23" fillId="0" borderId="3" xfId="0" applyNumberFormat="1" applyFont="1" applyBorder="1" applyAlignment="1">
      <alignment horizontal="center" vertical="center"/>
    </xf>
    <xf numFmtId="164" fontId="15" fillId="0" borderId="2" xfId="0" applyNumberFormat="1" applyFont="1" applyBorder="1"/>
    <xf numFmtId="0" fontId="0" fillId="0" borderId="7" xfId="0" applyBorder="1"/>
    <xf numFmtId="10" fontId="7" fillId="0" borderId="7" xfId="0" applyNumberFormat="1" applyFont="1" applyBorder="1" applyAlignment="1">
      <alignment horizontal="center" vertical="center"/>
    </xf>
    <xf numFmtId="0" fontId="10" fillId="0" borderId="11" xfId="0" applyFont="1" applyBorder="1"/>
    <xf numFmtId="0" fontId="8" fillId="0" borderId="0" xfId="0" applyFont="1" applyAlignment="1">
      <alignment horizontal="left"/>
    </xf>
    <xf numFmtId="0" fontId="4" fillId="5" borderId="21" xfId="0" applyFont="1" applyFill="1" applyBorder="1" applyAlignment="1">
      <alignment horizontal="center" wrapText="1"/>
    </xf>
    <xf numFmtId="0" fontId="14" fillId="0" borderId="0" xfId="3" applyAlignment="1">
      <alignment horizontal="right"/>
    </xf>
    <xf numFmtId="0" fontId="17" fillId="0" borderId="0" xfId="3" applyFont="1" applyAlignment="1">
      <alignment horizontal="right"/>
    </xf>
    <xf numFmtId="0" fontId="7" fillId="5" borderId="20" xfId="0" applyFont="1" applyFill="1" applyBorder="1" applyAlignment="1">
      <alignment horizontal="center" wrapText="1"/>
    </xf>
    <xf numFmtId="0" fontId="7" fillId="2" borderId="33" xfId="0" applyFont="1" applyFill="1" applyBorder="1" applyAlignment="1">
      <alignment horizontal="center"/>
    </xf>
    <xf numFmtId="0" fontId="7" fillId="2" borderId="32" xfId="0" applyFont="1" applyFill="1" applyBorder="1" applyAlignment="1">
      <alignment horizontal="center"/>
    </xf>
    <xf numFmtId="0" fontId="0" fillId="0" borderId="21" xfId="0" applyBorder="1" applyAlignment="1">
      <alignment horizontal="center"/>
    </xf>
    <xf numFmtId="164" fontId="0" fillId="2" borderId="2" xfId="0" applyNumberFormat="1" applyFill="1" applyBorder="1"/>
    <xf numFmtId="0" fontId="5" fillId="0" borderId="0" xfId="0" applyFont="1"/>
    <xf numFmtId="0" fontId="7" fillId="0" borderId="40" xfId="0" applyFont="1" applyBorder="1"/>
    <xf numFmtId="0" fontId="0" fillId="0" borderId="0" xfId="0" applyAlignment="1">
      <alignment wrapText="1"/>
    </xf>
    <xf numFmtId="0" fontId="13" fillId="0" borderId="2" xfId="0" applyFont="1" applyBorder="1" applyAlignment="1">
      <alignment vertical="center"/>
    </xf>
    <xf numFmtId="0" fontId="13" fillId="0" borderId="2" xfId="0" applyFont="1" applyBorder="1" applyAlignment="1">
      <alignment vertical="center" wrapText="1"/>
    </xf>
    <xf numFmtId="43" fontId="0" fillId="2" borderId="2" xfId="1" applyFont="1" applyFill="1" applyBorder="1"/>
    <xf numFmtId="0" fontId="24" fillId="0" borderId="0" xfId="0" applyFont="1"/>
    <xf numFmtId="0" fontId="4" fillId="5" borderId="2" xfId="0" quotePrefix="1" applyFont="1" applyFill="1" applyBorder="1" applyAlignment="1">
      <alignment horizontal="center" wrapText="1"/>
    </xf>
    <xf numFmtId="0" fontId="14" fillId="0" borderId="0" xfId="3" quotePrefix="1" applyAlignment="1">
      <alignment horizontal="right"/>
    </xf>
    <xf numFmtId="0" fontId="7" fillId="0" borderId="10" xfId="0" applyFont="1" applyBorder="1" applyAlignment="1">
      <alignment wrapText="1"/>
    </xf>
    <xf numFmtId="164" fontId="3" fillId="3" borderId="5" xfId="1" applyNumberFormat="1" applyFont="1" applyFill="1" applyBorder="1" applyAlignment="1">
      <alignment horizontal="center"/>
    </xf>
    <xf numFmtId="164" fontId="12" fillId="3" borderId="5" xfId="1" applyNumberFormat="1" applyFont="1" applyFill="1" applyBorder="1" applyAlignment="1">
      <alignment horizontal="center"/>
    </xf>
    <xf numFmtId="164" fontId="3" fillId="3" borderId="2" xfId="1" applyNumberFormat="1" applyFont="1" applyFill="1" applyBorder="1" applyAlignment="1">
      <alignment horizontal="center"/>
    </xf>
    <xf numFmtId="9" fontId="3" fillId="3" borderId="29" xfId="2" applyFont="1" applyFill="1" applyBorder="1" applyAlignment="1">
      <alignment horizontal="center"/>
    </xf>
    <xf numFmtId="9" fontId="12" fillId="3" borderId="29" xfId="2" applyFont="1" applyFill="1" applyBorder="1" applyAlignment="1">
      <alignment horizontal="center"/>
    </xf>
    <xf numFmtId="164" fontId="3" fillId="3" borderId="7" xfId="1" applyNumberFormat="1" applyFont="1" applyFill="1" applyBorder="1" applyAlignment="1">
      <alignment horizontal="center"/>
    </xf>
    <xf numFmtId="9" fontId="3" fillId="3" borderId="23" xfId="2" applyFont="1" applyFill="1" applyBorder="1" applyAlignment="1">
      <alignment horizontal="center"/>
    </xf>
    <xf numFmtId="9" fontId="0" fillId="3" borderId="29" xfId="2" applyFont="1" applyFill="1" applyBorder="1" applyAlignment="1">
      <alignment horizontal="center"/>
    </xf>
    <xf numFmtId="164" fontId="0" fillId="3" borderId="2" xfId="1" applyNumberFormat="1" applyFont="1" applyFill="1" applyBorder="1" applyAlignment="1">
      <alignment horizontal="center"/>
    </xf>
    <xf numFmtId="9" fontId="0" fillId="3" borderId="21" xfId="2" applyFont="1" applyFill="1" applyBorder="1" applyAlignment="1">
      <alignment horizontal="center"/>
    </xf>
    <xf numFmtId="9" fontId="3" fillId="3" borderId="21" xfId="2" applyFont="1" applyFill="1" applyBorder="1" applyAlignment="1">
      <alignment horizontal="center"/>
    </xf>
    <xf numFmtId="164" fontId="3" fillId="3" borderId="8" xfId="1" applyNumberFormat="1" applyFont="1" applyFill="1" applyBorder="1" applyAlignment="1">
      <alignment horizontal="center"/>
    </xf>
    <xf numFmtId="9" fontId="3" fillId="3" borderId="27" xfId="2" applyFont="1" applyFill="1" applyBorder="1" applyAlignment="1">
      <alignment horizontal="center"/>
    </xf>
    <xf numFmtId="0" fontId="4" fillId="5" borderId="12" xfId="0" applyFont="1" applyFill="1" applyBorder="1" applyAlignment="1">
      <alignment horizontal="center"/>
    </xf>
    <xf numFmtId="9" fontId="0" fillId="3" borderId="23" xfId="2" applyFont="1" applyFill="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xf>
    <xf numFmtId="164" fontId="0" fillId="8" borderId="5" xfId="1" applyNumberFormat="1" applyFont="1" applyFill="1" applyBorder="1" applyAlignment="1">
      <alignment horizontal="center"/>
    </xf>
    <xf numFmtId="164" fontId="0" fillId="8" borderId="6" xfId="1" applyNumberFormat="1" applyFont="1" applyFill="1" applyBorder="1" applyAlignment="1">
      <alignment horizontal="center"/>
    </xf>
    <xf numFmtId="164" fontId="0" fillId="8" borderId="6" xfId="1" applyNumberFormat="1" applyFont="1" applyFill="1" applyBorder="1" applyAlignment="1">
      <alignment horizontal="center" vertical="center"/>
    </xf>
    <xf numFmtId="164" fontId="0" fillId="8" borderId="10" xfId="1" applyNumberFormat="1" applyFont="1" applyFill="1" applyBorder="1" applyAlignment="1">
      <alignment horizontal="center"/>
    </xf>
    <xf numFmtId="164" fontId="0" fillId="8" borderId="40" xfId="1" applyNumberFormat="1" applyFont="1" applyFill="1" applyBorder="1" applyAlignment="1">
      <alignment horizontal="center"/>
    </xf>
    <xf numFmtId="164" fontId="0" fillId="8" borderId="2" xfId="1" applyNumberFormat="1" applyFont="1" applyFill="1" applyBorder="1" applyAlignment="1">
      <alignment horizontal="center"/>
    </xf>
    <xf numFmtId="43" fontId="7" fillId="8" borderId="5" xfId="1" applyFont="1" applyFill="1" applyBorder="1" applyAlignment="1">
      <alignment horizontal="center"/>
    </xf>
    <xf numFmtId="43" fontId="7" fillId="8" borderId="6" xfId="1" applyFont="1" applyFill="1" applyBorder="1" applyAlignment="1">
      <alignment horizontal="center"/>
    </xf>
    <xf numFmtId="43" fontId="7" fillId="8" borderId="10" xfId="1" applyFont="1" applyFill="1" applyBorder="1" applyAlignment="1">
      <alignment horizontal="center"/>
    </xf>
    <xf numFmtId="43" fontId="7" fillId="8" borderId="41" xfId="1" applyFont="1" applyFill="1" applyBorder="1" applyAlignment="1">
      <alignment horizontal="center"/>
    </xf>
    <xf numFmtId="43" fontId="7" fillId="8" borderId="2" xfId="1" applyFont="1" applyFill="1" applyBorder="1" applyAlignment="1">
      <alignment horizontal="center"/>
    </xf>
    <xf numFmtId="9" fontId="0" fillId="8" borderId="2" xfId="2" applyFont="1" applyFill="1" applyBorder="1" applyAlignment="1">
      <alignment horizontal="center" vertical="center"/>
    </xf>
    <xf numFmtId="43" fontId="0" fillId="8" borderId="2" xfId="1" applyFont="1" applyFill="1" applyBorder="1" applyAlignment="1">
      <alignment horizontal="center" vertical="center"/>
    </xf>
    <xf numFmtId="164" fontId="0" fillId="8" borderId="2" xfId="1" applyNumberFormat="1" applyFont="1" applyFill="1" applyBorder="1"/>
    <xf numFmtId="164" fontId="0" fillId="8" borderId="2" xfId="0" applyNumberFormat="1" applyFill="1" applyBorder="1"/>
    <xf numFmtId="164" fontId="4" fillId="8" borderId="8" xfId="0" applyNumberFormat="1" applyFont="1" applyFill="1" applyBorder="1"/>
    <xf numFmtId="43" fontId="0" fillId="8" borderId="2" xfId="1" applyFont="1" applyFill="1" applyBorder="1"/>
    <xf numFmtId="2" fontId="5" fillId="8" borderId="2" xfId="0" applyNumberFormat="1" applyFont="1" applyFill="1" applyBorder="1"/>
    <xf numFmtId="164" fontId="0" fillId="8" borderId="8" xfId="0" applyNumberFormat="1" applyFill="1" applyBorder="1"/>
    <xf numFmtId="164" fontId="3" fillId="8" borderId="5" xfId="1" applyNumberFormat="1" applyFont="1" applyFill="1" applyBorder="1" applyAlignment="1">
      <alignment horizontal="center"/>
    </xf>
    <xf numFmtId="164" fontId="3" fillId="8" borderId="2" xfId="1" applyNumberFormat="1" applyFont="1" applyFill="1" applyBorder="1" applyAlignment="1">
      <alignment horizontal="center"/>
    </xf>
    <xf numFmtId="164" fontId="3" fillId="8" borderId="20" xfId="1" applyNumberFormat="1" applyFont="1" applyFill="1" applyBorder="1" applyAlignment="1">
      <alignment horizontal="center"/>
    </xf>
    <xf numFmtId="164" fontId="3" fillId="8" borderId="21" xfId="1" applyNumberFormat="1" applyFont="1" applyFill="1" applyBorder="1" applyAlignment="1">
      <alignment horizontal="center"/>
    </xf>
    <xf numFmtId="9" fontId="3" fillId="8" borderId="29" xfId="2" applyFont="1" applyFill="1" applyBorder="1" applyAlignment="1">
      <alignment horizontal="center"/>
    </xf>
    <xf numFmtId="9" fontId="3" fillId="8" borderId="21" xfId="2" applyFont="1" applyFill="1" applyBorder="1" applyAlignment="1">
      <alignment horizontal="center"/>
    </xf>
    <xf numFmtId="9" fontId="0" fillId="8" borderId="2" xfId="2" applyFont="1" applyFill="1" applyBorder="1"/>
    <xf numFmtId="166" fontId="0" fillId="8" borderId="2" xfId="0" applyNumberFormat="1" applyFill="1" applyBorder="1"/>
    <xf numFmtId="164" fontId="3" fillId="8" borderId="22" xfId="1" applyNumberFormat="1" applyFont="1" applyFill="1" applyBorder="1" applyAlignment="1">
      <alignment horizontal="center"/>
    </xf>
    <xf numFmtId="164" fontId="3" fillId="8" borderId="23" xfId="1" applyNumberFormat="1" applyFont="1" applyFill="1" applyBorder="1" applyAlignment="1">
      <alignment horizontal="center"/>
    </xf>
    <xf numFmtId="164" fontId="3" fillId="8" borderId="7" xfId="1" applyNumberFormat="1" applyFont="1" applyFill="1" applyBorder="1" applyAlignment="1">
      <alignment horizontal="center"/>
    </xf>
    <xf numFmtId="9" fontId="3" fillId="8" borderId="23" xfId="2" applyFont="1" applyFill="1" applyBorder="1" applyAlignment="1">
      <alignment horizontal="center"/>
    </xf>
    <xf numFmtId="164" fontId="0" fillId="8" borderId="20" xfId="0" applyNumberFormat="1" applyFill="1" applyBorder="1"/>
    <xf numFmtId="9" fontId="0" fillId="8" borderId="21" xfId="2" applyFont="1" applyFill="1" applyBorder="1"/>
    <xf numFmtId="164" fontId="0" fillId="8" borderId="22" xfId="0" applyNumberFormat="1" applyFill="1" applyBorder="1"/>
    <xf numFmtId="9" fontId="0" fillId="8" borderId="23" xfId="2" applyFont="1" applyFill="1" applyBorder="1"/>
    <xf numFmtId="9" fontId="0" fillId="8" borderId="21" xfId="2" applyFont="1" applyFill="1" applyBorder="1" applyAlignment="1">
      <alignment horizontal="center"/>
    </xf>
    <xf numFmtId="9" fontId="0" fillId="8" borderId="29" xfId="2" applyFont="1" applyFill="1" applyBorder="1" applyAlignment="1">
      <alignment horizontal="center"/>
    </xf>
    <xf numFmtId="164" fontId="12" fillId="8" borderId="2" xfId="1" applyNumberFormat="1" applyFont="1" applyFill="1" applyBorder="1" applyAlignment="1">
      <alignment horizontal="center"/>
    </xf>
    <xf numFmtId="9" fontId="0" fillId="8" borderId="23" xfId="2" applyFont="1" applyFill="1" applyBorder="1" applyAlignment="1">
      <alignment horizontal="center"/>
    </xf>
    <xf numFmtId="164" fontId="0" fillId="8" borderId="30" xfId="1" applyNumberFormat="1" applyFont="1" applyFill="1" applyBorder="1" applyAlignment="1">
      <alignment horizontal="center"/>
    </xf>
    <xf numFmtId="164" fontId="0" fillId="8" borderId="20" xfId="1" applyNumberFormat="1" applyFont="1" applyFill="1" applyBorder="1" applyAlignment="1">
      <alignment horizontal="center"/>
    </xf>
    <xf numFmtId="164" fontId="0" fillId="8" borderId="21" xfId="1" applyNumberFormat="1" applyFont="1" applyFill="1" applyBorder="1" applyAlignment="1">
      <alignment horizontal="center"/>
    </xf>
    <xf numFmtId="164" fontId="3" fillId="8" borderId="4" xfId="1" applyNumberFormat="1" applyFont="1" applyFill="1" applyBorder="1" applyAlignment="1">
      <alignment horizontal="center"/>
    </xf>
    <xf numFmtId="9" fontId="3" fillId="8" borderId="19" xfId="2" applyFont="1" applyFill="1" applyBorder="1" applyAlignment="1">
      <alignment horizontal="center"/>
    </xf>
    <xf numFmtId="164" fontId="3" fillId="8" borderId="14" xfId="1" applyNumberFormat="1" applyFont="1" applyFill="1" applyBorder="1" applyAlignment="1">
      <alignment horizontal="center"/>
    </xf>
    <xf numFmtId="9" fontId="3" fillId="8" borderId="16" xfId="2" applyFont="1" applyFill="1" applyBorder="1" applyAlignment="1">
      <alignment horizontal="center"/>
    </xf>
    <xf numFmtId="164" fontId="0" fillId="8" borderId="4" xfId="0" applyNumberFormat="1" applyFill="1" applyBorder="1"/>
    <xf numFmtId="164" fontId="0" fillId="8" borderId="14" xfId="0" applyNumberFormat="1" applyFill="1" applyBorder="1"/>
    <xf numFmtId="164" fontId="3" fillId="8" borderId="15" xfId="1" applyNumberFormat="1" applyFont="1" applyFill="1" applyBorder="1" applyAlignment="1">
      <alignment horizontal="center"/>
    </xf>
    <xf numFmtId="9" fontId="3" fillId="8" borderId="27" xfId="2" applyFont="1" applyFill="1" applyBorder="1" applyAlignment="1">
      <alignment horizontal="center"/>
    </xf>
    <xf numFmtId="9" fontId="3" fillId="8" borderId="13" xfId="2" applyFont="1" applyFill="1" applyBorder="1" applyAlignment="1">
      <alignment horizontal="center"/>
    </xf>
    <xf numFmtId="164" fontId="3" fillId="8" borderId="26" xfId="1" applyNumberFormat="1" applyFont="1" applyFill="1" applyBorder="1" applyAlignment="1">
      <alignment horizontal="center"/>
    </xf>
    <xf numFmtId="9" fontId="0" fillId="8" borderId="27" xfId="2" applyFont="1" applyFill="1" applyBorder="1"/>
    <xf numFmtId="164" fontId="3" fillId="8" borderId="8" xfId="1" applyNumberFormat="1" applyFont="1" applyFill="1" applyBorder="1" applyAlignment="1">
      <alignment horizontal="center"/>
    </xf>
    <xf numFmtId="164" fontId="0" fillId="8" borderId="15" xfId="0" applyNumberFormat="1" applyFill="1" applyBorder="1"/>
    <xf numFmtId="164" fontId="3" fillId="8" borderId="27" xfId="1" applyNumberFormat="1" applyFont="1" applyFill="1" applyBorder="1" applyAlignment="1">
      <alignment horizontal="center"/>
    </xf>
    <xf numFmtId="9" fontId="0" fillId="8" borderId="19" xfId="2" applyFont="1" applyFill="1" applyBorder="1" applyAlignment="1">
      <alignment horizontal="center"/>
    </xf>
    <xf numFmtId="9" fontId="0" fillId="8" borderId="3" xfId="2" applyFont="1" applyFill="1" applyBorder="1" applyAlignment="1">
      <alignment horizontal="center"/>
    </xf>
    <xf numFmtId="164" fontId="0" fillId="8" borderId="4" xfId="1" applyNumberFormat="1" applyFont="1" applyFill="1" applyBorder="1" applyAlignment="1">
      <alignment horizontal="center"/>
    </xf>
    <xf numFmtId="164" fontId="3" fillId="8" borderId="32" xfId="1" applyNumberFormat="1" applyFont="1" applyFill="1" applyBorder="1" applyAlignment="1">
      <alignment horizontal="center"/>
    </xf>
    <xf numFmtId="164" fontId="3" fillId="8" borderId="33" xfId="1" applyNumberFormat="1" applyFont="1" applyFill="1" applyBorder="1" applyAlignment="1">
      <alignment horizontal="center"/>
    </xf>
    <xf numFmtId="9" fontId="0" fillId="8" borderId="39" xfId="2" applyFont="1" applyFill="1" applyBorder="1" applyAlignment="1">
      <alignment horizontal="center"/>
    </xf>
    <xf numFmtId="9" fontId="0" fillId="8" borderId="27" xfId="2" applyFont="1" applyFill="1" applyBorder="1" applyAlignment="1">
      <alignment horizontal="center"/>
    </xf>
    <xf numFmtId="164" fontId="3" fillId="8" borderId="38" xfId="1" applyNumberFormat="1" applyFont="1" applyFill="1" applyBorder="1" applyAlignment="1">
      <alignment horizontal="center"/>
    </xf>
    <xf numFmtId="164" fontId="0" fillId="8" borderId="24" xfId="1" applyNumberFormat="1" applyFont="1" applyFill="1" applyBorder="1" applyAlignment="1">
      <alignment horizontal="center"/>
    </xf>
    <xf numFmtId="164" fontId="0" fillId="8" borderId="34" xfId="1" applyNumberFormat="1" applyFont="1" applyFill="1" applyBorder="1" applyAlignment="1">
      <alignment horizontal="center"/>
    </xf>
    <xf numFmtId="164" fontId="0" fillId="8" borderId="32" xfId="1" applyNumberFormat="1" applyFont="1" applyFill="1" applyBorder="1" applyAlignment="1">
      <alignment horizontal="center"/>
    </xf>
    <xf numFmtId="164" fontId="0" fillId="8" borderId="38" xfId="1" applyNumberFormat="1" applyFont="1" applyFill="1" applyBorder="1" applyAlignment="1">
      <alignment horizontal="center"/>
    </xf>
    <xf numFmtId="9" fontId="3" fillId="8" borderId="24" xfId="2" applyFont="1" applyFill="1" applyBorder="1" applyAlignment="1">
      <alignment horizontal="center"/>
    </xf>
    <xf numFmtId="9" fontId="3" fillId="8" borderId="20" xfId="2" applyFont="1" applyFill="1" applyBorder="1" applyAlignment="1">
      <alignment horizontal="center"/>
    </xf>
    <xf numFmtId="9" fontId="3" fillId="8" borderId="32" xfId="2" applyFont="1" applyFill="1" applyBorder="1" applyAlignment="1">
      <alignment horizontal="center"/>
    </xf>
    <xf numFmtId="0" fontId="4" fillId="8" borderId="24" xfId="0" applyFont="1" applyFill="1" applyBorder="1" applyAlignment="1">
      <alignment horizontal="center"/>
    </xf>
    <xf numFmtId="0" fontId="4" fillId="8" borderId="21" xfId="0" applyFont="1" applyFill="1" applyBorder="1" applyAlignment="1">
      <alignment horizontal="center"/>
    </xf>
    <xf numFmtId="164" fontId="23" fillId="8" borderId="2" xfId="1" applyNumberFormat="1" applyFont="1" applyFill="1" applyBorder="1"/>
    <xf numFmtId="9" fontId="4" fillId="8" borderId="2" xfId="0" applyNumberFormat="1" applyFont="1" applyFill="1" applyBorder="1"/>
    <xf numFmtId="164" fontId="0" fillId="8" borderId="7" xfId="0" applyNumberFormat="1" applyFill="1" applyBorder="1"/>
    <xf numFmtId="0" fontId="10" fillId="0" borderId="2" xfId="0" applyFont="1" applyBorder="1"/>
    <xf numFmtId="0" fontId="17" fillId="0" borderId="0" xfId="3" quotePrefix="1" applyFont="1" applyAlignment="1">
      <alignment horizontal="left"/>
    </xf>
    <xf numFmtId="0" fontId="17" fillId="0" borderId="0" xfId="3" applyFont="1" applyAlignment="1">
      <alignment horizontal="left"/>
    </xf>
    <xf numFmtId="0" fontId="14" fillId="0" borderId="0" xfId="3" applyAlignment="1">
      <alignment horizontal="left"/>
    </xf>
    <xf numFmtId="0" fontId="14" fillId="0" borderId="0" xfId="3" quotePrefix="1" applyAlignment="1">
      <alignment horizontal="left"/>
    </xf>
    <xf numFmtId="164" fontId="0" fillId="3" borderId="5" xfId="1" applyNumberFormat="1" applyFont="1" applyFill="1" applyBorder="1" applyAlignment="1">
      <alignment horizontal="center" vertical="center"/>
    </xf>
    <xf numFmtId="164" fontId="0" fillId="8" borderId="5" xfId="1" applyNumberFormat="1" applyFont="1" applyFill="1" applyBorder="1" applyAlignment="1">
      <alignment horizontal="center" vertical="center"/>
    </xf>
    <xf numFmtId="0" fontId="7" fillId="3" borderId="10" xfId="0" applyFont="1" applyFill="1" applyBorder="1" applyAlignment="1">
      <alignment horizontal="center" vertical="center"/>
    </xf>
    <xf numFmtId="164" fontId="0" fillId="8" borderId="10" xfId="1" applyNumberFormat="1" applyFont="1" applyFill="1" applyBorder="1" applyAlignment="1">
      <alignment horizontal="center" vertical="center"/>
    </xf>
    <xf numFmtId="164" fontId="0" fillId="3" borderId="10" xfId="1" applyNumberFormat="1" applyFont="1" applyFill="1" applyBorder="1" applyAlignment="1">
      <alignment horizontal="center" vertical="center"/>
    </xf>
    <xf numFmtId="164" fontId="0" fillId="8" borderId="2" xfId="1" applyNumberFormat="1" applyFont="1" applyFill="1" applyBorder="1" applyAlignment="1">
      <alignment horizontal="center" vertical="center"/>
    </xf>
    <xf numFmtId="0" fontId="7" fillId="0" borderId="5" xfId="0" applyFont="1" applyBorder="1" applyAlignment="1">
      <alignment horizontal="left" wrapText="1"/>
    </xf>
    <xf numFmtId="0" fontId="12" fillId="0" borderId="9" xfId="0" applyFont="1" applyBorder="1" applyAlignment="1">
      <alignment horizontal="right" wrapText="1"/>
    </xf>
    <xf numFmtId="0" fontId="12" fillId="3" borderId="9" xfId="0" applyFont="1" applyFill="1" applyBorder="1" applyAlignment="1">
      <alignment horizontal="right" vertical="center"/>
    </xf>
    <xf numFmtId="0" fontId="12" fillId="0" borderId="40" xfId="0" applyFont="1" applyBorder="1" applyAlignment="1">
      <alignment horizontal="right" wrapText="1"/>
    </xf>
    <xf numFmtId="0" fontId="12" fillId="3" borderId="10" xfId="0" applyFont="1" applyFill="1" applyBorder="1" applyAlignment="1">
      <alignment horizontal="right" vertical="center"/>
    </xf>
    <xf numFmtId="164" fontId="12" fillId="8" borderId="9" xfId="1" applyNumberFormat="1" applyFont="1" applyFill="1" applyBorder="1" applyAlignment="1">
      <alignment horizontal="right" vertical="center"/>
    </xf>
    <xf numFmtId="164" fontId="12" fillId="3" borderId="9" xfId="1" applyNumberFormat="1" applyFont="1" applyFill="1" applyBorder="1" applyAlignment="1">
      <alignment horizontal="right" vertical="center"/>
    </xf>
    <xf numFmtId="164" fontId="12" fillId="8" borderId="10" xfId="1" applyNumberFormat="1" applyFont="1" applyFill="1" applyBorder="1" applyAlignment="1">
      <alignment horizontal="right" vertical="center"/>
    </xf>
    <xf numFmtId="164" fontId="12" fillId="3" borderId="10" xfId="1" applyNumberFormat="1" applyFont="1" applyFill="1" applyBorder="1" applyAlignment="1">
      <alignment horizontal="right" vertical="center"/>
    </xf>
    <xf numFmtId="0" fontId="7" fillId="0" borderId="5" xfId="0" applyFont="1" applyBorder="1" applyAlignment="1">
      <alignment horizontal="center" vertical="center"/>
    </xf>
    <xf numFmtId="0" fontId="12" fillId="0" borderId="9" xfId="0" applyFont="1" applyBorder="1" applyAlignment="1">
      <alignment horizontal="right" vertical="center"/>
    </xf>
    <xf numFmtId="0" fontId="12" fillId="0" borderId="40" xfId="0" applyFont="1" applyBorder="1" applyAlignment="1">
      <alignment horizontal="right" vertical="center"/>
    </xf>
    <xf numFmtId="0" fontId="7" fillId="0" borderId="10" xfId="0" applyFont="1" applyBorder="1" applyAlignment="1">
      <alignment horizontal="center" vertical="center"/>
    </xf>
    <xf numFmtId="0" fontId="7" fillId="3" borderId="8" xfId="0" applyFont="1" applyFill="1" applyBorder="1" applyAlignment="1">
      <alignment horizontal="center"/>
    </xf>
    <xf numFmtId="164" fontId="0" fillId="2" borderId="8" xfId="1" applyNumberFormat="1" applyFont="1" applyFill="1" applyBorder="1" applyAlignment="1">
      <alignment horizontal="center"/>
    </xf>
    <xf numFmtId="0" fontId="12"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164" fontId="0" fillId="2" borderId="7" xfId="1" applyNumberFormat="1" applyFont="1" applyFill="1" applyBorder="1" applyAlignment="1">
      <alignment horizontal="center"/>
    </xf>
    <xf numFmtId="0" fontId="8" fillId="9" borderId="1" xfId="0" applyFont="1" applyFill="1" applyBorder="1"/>
    <xf numFmtId="0" fontId="10" fillId="0" borderId="11" xfId="0" applyFont="1" applyBorder="1" applyAlignment="1">
      <alignment vertical="center"/>
    </xf>
    <xf numFmtId="0" fontId="12" fillId="2" borderId="33" xfId="0" applyFont="1" applyFill="1" applyBorder="1" applyAlignment="1">
      <alignment horizontal="center"/>
    </xf>
    <xf numFmtId="0" fontId="21" fillId="0" borderId="0" xfId="0" applyFont="1"/>
    <xf numFmtId="0" fontId="4" fillId="5" borderId="33" xfId="0" applyFont="1" applyFill="1" applyBorder="1" applyAlignment="1">
      <alignment horizontal="center"/>
    </xf>
    <xf numFmtId="0" fontId="4" fillId="5" borderId="32" xfId="0" applyFont="1" applyFill="1" applyBorder="1" applyAlignment="1">
      <alignment horizontal="center" vertical="center" wrapText="1"/>
    </xf>
    <xf numFmtId="0" fontId="25" fillId="0" borderId="0" xfId="0" applyFont="1"/>
    <xf numFmtId="0" fontId="5" fillId="0" borderId="0" xfId="0" applyFont="1" applyAlignment="1">
      <alignment vertical="center"/>
    </xf>
    <xf numFmtId="0" fontId="0" fillId="0" borderId="7" xfId="0" applyBorder="1" applyAlignment="1">
      <alignment horizontal="left" vertical="center"/>
    </xf>
    <xf numFmtId="9" fontId="0" fillId="8" borderId="2" xfId="2" applyFont="1" applyFill="1" applyBorder="1" applyAlignment="1">
      <alignment horizontal="center"/>
    </xf>
    <xf numFmtId="9" fontId="0" fillId="3" borderId="2" xfId="2" applyFont="1" applyFill="1" applyBorder="1" applyAlignment="1">
      <alignment horizontal="center"/>
    </xf>
    <xf numFmtId="9" fontId="3" fillId="8" borderId="2" xfId="2" applyFont="1" applyFill="1" applyBorder="1" applyAlignment="1">
      <alignment horizontal="center"/>
    </xf>
    <xf numFmtId="164" fontId="12" fillId="2" borderId="2" xfId="1" applyNumberFormat="1" applyFont="1" applyFill="1" applyBorder="1" applyAlignment="1">
      <alignment horizontal="center"/>
    </xf>
    <xf numFmtId="9" fontId="12" fillId="8" borderId="2" xfId="2" applyFont="1" applyFill="1" applyBorder="1" applyAlignment="1">
      <alignment horizontal="center"/>
    </xf>
    <xf numFmtId="164" fontId="12" fillId="3" borderId="2" xfId="1" applyNumberFormat="1" applyFont="1" applyFill="1" applyBorder="1" applyAlignment="1">
      <alignment horizontal="center"/>
    </xf>
    <xf numFmtId="9" fontId="12" fillId="3" borderId="2" xfId="2" applyFont="1" applyFill="1" applyBorder="1" applyAlignment="1">
      <alignment horizontal="center"/>
    </xf>
    <xf numFmtId="9" fontId="12" fillId="8" borderId="2" xfId="2" applyFont="1" applyFill="1" applyBorder="1"/>
    <xf numFmtId="0" fontId="12" fillId="0" borderId="2" xfId="0" applyFont="1" applyBorder="1"/>
    <xf numFmtId="9" fontId="3" fillId="3" borderId="2" xfId="2" applyFont="1" applyFill="1" applyBorder="1" applyAlignment="1">
      <alignment horizontal="center"/>
    </xf>
    <xf numFmtId="0" fontId="36" fillId="0" borderId="0" xfId="0" applyFont="1" applyAlignment="1">
      <alignment vertical="center"/>
    </xf>
    <xf numFmtId="3" fontId="36" fillId="0" borderId="0" xfId="0" applyNumberFormat="1" applyFont="1" applyAlignment="1">
      <alignment vertical="center"/>
    </xf>
    <xf numFmtId="0" fontId="0" fillId="0" borderId="45" xfId="0" applyBorder="1"/>
    <xf numFmtId="0" fontId="0" fillId="0" borderId="38" xfId="0" applyBorder="1"/>
    <xf numFmtId="175" fontId="0" fillId="8" borderId="2" xfId="1" applyNumberFormat="1" applyFont="1" applyFill="1" applyBorder="1" applyAlignment="1">
      <alignment horizontal="center"/>
    </xf>
    <xf numFmtId="164" fontId="1" fillId="8" borderId="2" xfId="1" applyNumberFormat="1" applyFont="1" applyFill="1" applyBorder="1" applyAlignment="1">
      <alignment horizontal="center"/>
    </xf>
    <xf numFmtId="164" fontId="1" fillId="2" borderId="6" xfId="1" applyNumberFormat="1" applyFont="1" applyFill="1" applyBorder="1" applyAlignment="1">
      <alignment horizontal="center"/>
    </xf>
    <xf numFmtId="0" fontId="37" fillId="16" borderId="13" xfId="0" applyFont="1" applyFill="1" applyBorder="1" applyAlignment="1">
      <alignment horizontal="left"/>
    </xf>
    <xf numFmtId="0" fontId="37" fillId="16" borderId="1" xfId="0" applyFont="1" applyFill="1" applyBorder="1" applyAlignment="1">
      <alignment horizontal="left"/>
    </xf>
    <xf numFmtId="0" fontId="38" fillId="17" borderId="7" xfId="0" applyFont="1" applyFill="1" applyBorder="1" applyAlignment="1">
      <alignment vertical="center" wrapText="1"/>
    </xf>
    <xf numFmtId="0" fontId="38" fillId="17" borderId="7" xfId="0" applyFont="1" applyFill="1" applyBorder="1" applyAlignment="1">
      <alignment horizontal="center" vertical="center"/>
    </xf>
    <xf numFmtId="0" fontId="38" fillId="17" borderId="3" xfId="0" applyFont="1" applyFill="1" applyBorder="1" applyAlignment="1">
      <alignment horizontal="center"/>
    </xf>
    <xf numFmtId="0" fontId="38" fillId="17" borderId="2" xfId="0" quotePrefix="1" applyFont="1" applyFill="1" applyBorder="1" applyAlignment="1">
      <alignment horizontal="center"/>
    </xf>
    <xf numFmtId="0" fontId="39" fillId="0" borderId="2" xfId="0" applyFont="1" applyBorder="1" applyAlignment="1">
      <alignment horizontal="left" vertical="center"/>
    </xf>
    <xf numFmtId="0" fontId="39" fillId="0" borderId="5" xfId="0" applyFont="1" applyBorder="1" applyAlignment="1">
      <alignment horizontal="center"/>
    </xf>
    <xf numFmtId="164" fontId="39" fillId="18" borderId="5" xfId="1" applyNumberFormat="1" applyFont="1" applyFill="1" applyBorder="1" applyAlignment="1">
      <alignment horizontal="center"/>
    </xf>
    <xf numFmtId="164" fontId="39" fillId="19" borderId="8" xfId="0" applyNumberFormat="1" applyFont="1" applyFill="1" applyBorder="1"/>
    <xf numFmtId="0" fontId="39" fillId="0" borderId="2" xfId="0" applyFont="1" applyBorder="1" applyAlignment="1">
      <alignment horizontal="center"/>
    </xf>
    <xf numFmtId="164" fontId="39" fillId="18" borderId="2" xfId="1" applyNumberFormat="1" applyFont="1" applyFill="1" applyBorder="1" applyAlignment="1">
      <alignment horizontal="center"/>
    </xf>
    <xf numFmtId="0" fontId="39" fillId="0" borderId="0" xfId="0" applyFont="1"/>
    <xf numFmtId="0" fontId="37" fillId="16" borderId="2" xfId="0" applyFont="1" applyFill="1" applyBorder="1" applyAlignment="1">
      <alignment horizontal="left"/>
    </xf>
    <xf numFmtId="0" fontId="38" fillId="17" borderId="2" xfId="0" applyFont="1" applyFill="1" applyBorder="1" applyAlignment="1">
      <alignment vertical="center" wrapText="1"/>
    </xf>
    <xf numFmtId="0" fontId="38" fillId="17" borderId="2" xfId="0" applyFont="1" applyFill="1" applyBorder="1" applyAlignment="1">
      <alignment horizontal="center" vertical="center"/>
    </xf>
    <xf numFmtId="0" fontId="38" fillId="17" borderId="2" xfId="0" applyFont="1" applyFill="1" applyBorder="1" applyAlignment="1">
      <alignment horizontal="center"/>
    </xf>
    <xf numFmtId="164" fontId="39" fillId="19" borderId="2" xfId="0" applyNumberFormat="1" applyFont="1" applyFill="1" applyBorder="1"/>
    <xf numFmtId="164" fontId="0" fillId="2" borderId="2" xfId="1" quotePrefix="1" applyNumberFormat="1" applyFont="1" applyFill="1" applyBorder="1" applyAlignment="1">
      <alignment horizontal="center"/>
    </xf>
    <xf numFmtId="9" fontId="0" fillId="2" borderId="5" xfId="1" applyNumberFormat="1" applyFont="1" applyFill="1" applyBorder="1" applyAlignment="1">
      <alignment horizontal="center"/>
    </xf>
    <xf numFmtId="9" fontId="0" fillId="2" borderId="7" xfId="1" applyNumberFormat="1" applyFont="1" applyFill="1" applyBorder="1" applyAlignment="1">
      <alignment horizontal="center"/>
    </xf>
    <xf numFmtId="0" fontId="0" fillId="2" borderId="5" xfId="1" applyNumberFormat="1" applyFont="1" applyFill="1" applyBorder="1" applyAlignment="1">
      <alignment horizontal="center"/>
    </xf>
    <xf numFmtId="176" fontId="0" fillId="0" borderId="0" xfId="0" applyNumberFormat="1"/>
    <xf numFmtId="164" fontId="3" fillId="0" borderId="0" xfId="1" applyNumberFormat="1" applyFont="1" applyFill="1" applyBorder="1" applyAlignment="1">
      <alignment horizontal="center"/>
    </xf>
    <xf numFmtId="177" fontId="3" fillId="8" borderId="32" xfId="1" applyNumberFormat="1" applyFont="1" applyFill="1" applyBorder="1" applyAlignment="1">
      <alignment horizontal="center"/>
    </xf>
    <xf numFmtId="0" fontId="40" fillId="0" borderId="0" xfId="0" applyFont="1"/>
    <xf numFmtId="0" fontId="4" fillId="0" borderId="0" xfId="0" applyFont="1" applyAlignment="1">
      <alignment horizontal="center"/>
    </xf>
    <xf numFmtId="0" fontId="8" fillId="9" borderId="0" xfId="0" applyFont="1" applyFill="1"/>
    <xf numFmtId="0" fontId="0" fillId="9" borderId="0" xfId="0" applyFill="1"/>
    <xf numFmtId="164" fontId="3" fillId="9" borderId="0" xfId="1" applyNumberFormat="1" applyFont="1" applyFill="1" applyBorder="1" applyAlignment="1">
      <alignment horizontal="center"/>
    </xf>
    <xf numFmtId="0" fontId="0" fillId="9" borderId="2" xfId="0" applyFill="1" applyBorder="1" applyAlignment="1">
      <alignment vertical="center" wrapText="1"/>
    </xf>
    <xf numFmtId="0" fontId="0" fillId="9" borderId="2" xfId="0" applyFill="1" applyBorder="1" applyAlignment="1">
      <alignment horizontal="center" vertical="center" wrapText="1"/>
    </xf>
    <xf numFmtId="43" fontId="0" fillId="9" borderId="2" xfId="1" applyFont="1" applyFill="1" applyBorder="1" applyAlignment="1">
      <alignment horizontal="center" vertical="center"/>
    </xf>
    <xf numFmtId="0" fontId="41" fillId="0" borderId="0" xfId="0" applyFont="1" applyAlignment="1">
      <alignment horizontal="center" vertical="center" wrapText="1"/>
    </xf>
    <xf numFmtId="0" fontId="42" fillId="0" borderId="0" xfId="0" applyFont="1" applyAlignment="1">
      <alignment horizontal="justify" vertical="center" wrapText="1"/>
    </xf>
    <xf numFmtId="9" fontId="42" fillId="0" borderId="0" xfId="0" applyNumberFormat="1" applyFont="1" applyAlignment="1">
      <alignment horizontal="center" vertical="center" wrapText="1"/>
    </xf>
    <xf numFmtId="0" fontId="14" fillId="0" borderId="0" xfId="3"/>
    <xf numFmtId="0" fontId="14" fillId="0" borderId="0" xfId="3" applyAlignment="1">
      <alignment horizontal="left" vertical="center" wrapText="1"/>
    </xf>
    <xf numFmtId="10" fontId="0" fillId="2" borderId="2" xfId="2" applyNumberFormat="1" applyFont="1" applyFill="1" applyBorder="1"/>
    <xf numFmtId="9" fontId="0" fillId="8" borderId="16" xfId="2" applyFont="1" applyFill="1" applyBorder="1"/>
    <xf numFmtId="9" fontId="0" fillId="8" borderId="16" xfId="2" applyFont="1" applyFill="1" applyBorder="1" applyAlignment="1">
      <alignment horizontal="center"/>
    </xf>
    <xf numFmtId="10" fontId="45" fillId="0" borderId="3" xfId="0" applyNumberFormat="1" applyFont="1" applyBorder="1" applyAlignment="1">
      <alignment horizontal="center" vertical="center"/>
    </xf>
    <xf numFmtId="164" fontId="46" fillId="0" borderId="2" xfId="0" applyNumberFormat="1" applyFont="1" applyBorder="1"/>
    <xf numFmtId="0" fontId="44" fillId="0" borderId="2" xfId="0" applyFont="1" applyBorder="1"/>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6" fillId="2" borderId="1" xfId="0" applyFont="1" applyFill="1" applyBorder="1" applyAlignment="1">
      <alignment horizontal="center" vertical="center"/>
    </xf>
    <xf numFmtId="0" fontId="13" fillId="0" borderId="2" xfId="0" applyFont="1" applyBorder="1" applyAlignment="1">
      <alignment horizontal="left" vertical="center" wrapText="1"/>
    </xf>
    <xf numFmtId="0" fontId="0" fillId="0" borderId="12" xfId="0" applyBorder="1" applyAlignment="1">
      <alignment horizontal="left" wrapText="1"/>
    </xf>
    <xf numFmtId="0" fontId="0" fillId="7" borderId="3" xfId="0" applyFill="1" applyBorder="1" applyAlignment="1">
      <alignment horizontal="left" vertical="center"/>
    </xf>
    <xf numFmtId="0" fontId="0" fillId="7" borderId="12" xfId="0" applyFill="1" applyBorder="1" applyAlignment="1">
      <alignment horizontal="left" vertical="center"/>
    </xf>
    <xf numFmtId="0" fontId="0" fillId="7" borderId="4" xfId="0" applyFill="1" applyBorder="1" applyAlignment="1">
      <alignment horizontal="left" vertical="center"/>
    </xf>
    <xf numFmtId="0" fontId="8" fillId="4" borderId="0" xfId="0" applyFont="1" applyFill="1" applyAlignment="1">
      <alignment horizontal="left"/>
    </xf>
    <xf numFmtId="0" fontId="6" fillId="0" borderId="1" xfId="0" applyFont="1" applyBorder="1" applyAlignment="1">
      <alignment horizontal="left" vertical="center"/>
    </xf>
    <xf numFmtId="0" fontId="27" fillId="0" borderId="0" xfId="3" applyFont="1" applyAlignment="1">
      <alignment horizontal="center"/>
    </xf>
    <xf numFmtId="0" fontId="0" fillId="0" borderId="12" xfId="0" applyBorder="1" applyAlignment="1">
      <alignment horizontal="left" vertical="top" wrapText="1"/>
    </xf>
    <xf numFmtId="164" fontId="4" fillId="2" borderId="7" xfId="1" applyNumberFormat="1" applyFont="1" applyFill="1" applyBorder="1" applyAlignment="1">
      <alignment horizontal="center" vertical="center" wrapText="1"/>
    </xf>
    <xf numFmtId="164" fontId="4" fillId="2" borderId="8" xfId="1" applyNumberFormat="1" applyFont="1" applyFill="1" applyBorder="1" applyAlignment="1">
      <alignment horizontal="center" vertical="center" wrapText="1"/>
    </xf>
    <xf numFmtId="0" fontId="39" fillId="20" borderId="3" xfId="0" applyFont="1" applyFill="1" applyBorder="1" applyAlignment="1">
      <alignment horizontal="left" vertical="center"/>
    </xf>
    <xf numFmtId="0" fontId="39" fillId="20" borderId="12" xfId="0" applyFont="1" applyFill="1" applyBorder="1" applyAlignment="1">
      <alignment horizontal="left" vertical="center"/>
    </xf>
    <xf numFmtId="0" fontId="39" fillId="20" borderId="4" xfId="0" applyFont="1" applyFill="1" applyBorder="1" applyAlignment="1">
      <alignment horizontal="left" vertical="center"/>
    </xf>
    <xf numFmtId="0" fontId="39" fillId="20" borderId="2" xfId="0" applyFont="1" applyFill="1" applyBorder="1" applyAlignment="1">
      <alignment horizontal="left" vertical="center"/>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9" fillId="6" borderId="13" xfId="0" applyFont="1" applyFill="1" applyBorder="1" applyAlignment="1">
      <alignment horizontal="left"/>
    </xf>
    <xf numFmtId="0" fontId="9" fillId="6" borderId="1" xfId="0" applyFont="1" applyFill="1" applyBorder="1" applyAlignment="1">
      <alignment horizontal="left"/>
    </xf>
    <xf numFmtId="0" fontId="8" fillId="4" borderId="18" xfId="0" applyFont="1" applyFill="1" applyBorder="1" applyAlignment="1">
      <alignment horizontal="left"/>
    </xf>
    <xf numFmtId="0" fontId="4" fillId="5" borderId="2" xfId="0" applyFont="1" applyFill="1" applyBorder="1" applyAlignment="1">
      <alignment horizontal="left" vertical="center"/>
    </xf>
    <xf numFmtId="0" fontId="4" fillId="5" borderId="11"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4" fillId="5" borderId="24" xfId="0" applyFont="1" applyFill="1" applyBorder="1" applyAlignment="1">
      <alignment horizontal="center"/>
    </xf>
    <xf numFmtId="0" fontId="4" fillId="5" borderId="12" xfId="0" applyFont="1" applyFill="1" applyBorder="1" applyAlignment="1">
      <alignment horizontal="center"/>
    </xf>
    <xf numFmtId="0" fontId="4" fillId="5" borderId="25" xfId="0" applyFont="1" applyFill="1" applyBorder="1" applyAlignment="1">
      <alignment horizontal="center"/>
    </xf>
    <xf numFmtId="0" fontId="4" fillId="5" borderId="4" xfId="0" applyFont="1" applyFill="1" applyBorder="1" applyAlignment="1">
      <alignment horizontal="center"/>
    </xf>
    <xf numFmtId="0" fontId="4" fillId="5" borderId="24" xfId="0" quotePrefix="1" applyFont="1" applyFill="1" applyBorder="1" applyAlignment="1">
      <alignment horizontal="center"/>
    </xf>
    <xf numFmtId="0" fontId="4" fillId="5" borderId="4" xfId="0" quotePrefix="1" applyFont="1" applyFill="1" applyBorder="1" applyAlignment="1">
      <alignment horizontal="center"/>
    </xf>
    <xf numFmtId="0" fontId="4" fillId="5" borderId="43" xfId="0" applyFont="1" applyFill="1" applyBorder="1" applyAlignment="1">
      <alignment horizontal="center"/>
    </xf>
    <xf numFmtId="0" fontId="4" fillId="5" borderId="1" xfId="0" applyFont="1" applyFill="1" applyBorder="1" applyAlignment="1">
      <alignment horizontal="center"/>
    </xf>
    <xf numFmtId="0" fontId="4" fillId="5" borderId="31" xfId="0" applyFont="1" applyFill="1" applyBorder="1" applyAlignment="1">
      <alignment horizontal="center"/>
    </xf>
    <xf numFmtId="0" fontId="4" fillId="0" borderId="1" xfId="0" applyFont="1" applyBorder="1" applyAlignment="1">
      <alignment horizont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42" xfId="0" quotePrefix="1" applyFont="1" applyFill="1" applyBorder="1" applyAlignment="1">
      <alignment horizontal="center" vertical="center"/>
    </xf>
    <xf numFmtId="0" fontId="4" fillId="5" borderId="14" xfId="0" quotePrefix="1" applyFont="1" applyFill="1" applyBorder="1" applyAlignment="1">
      <alignment horizontal="center" vertical="center"/>
    </xf>
    <xf numFmtId="0" fontId="4" fillId="5" borderId="43" xfId="0" quotePrefix="1" applyFont="1" applyFill="1" applyBorder="1" applyAlignment="1">
      <alignment horizontal="center" vertical="center"/>
    </xf>
    <xf numFmtId="0" fontId="4" fillId="5" borderId="15" xfId="0" quotePrefix="1" applyFont="1" applyFill="1" applyBorder="1" applyAlignment="1">
      <alignment horizontal="center" vertical="center"/>
    </xf>
    <xf numFmtId="0" fontId="4" fillId="5" borderId="25" xfId="0" quotePrefix="1" applyFont="1" applyFill="1" applyBorder="1" applyAlignment="1">
      <alignment horizontal="center"/>
    </xf>
    <xf numFmtId="0" fontId="4" fillId="5"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3" xfId="0" applyFont="1" applyFill="1" applyBorder="1" applyAlignment="1">
      <alignment horizontal="center" vertical="center"/>
    </xf>
    <xf numFmtId="0" fontId="0" fillId="7" borderId="25" xfId="0" applyFill="1" applyBorder="1" applyAlignment="1">
      <alignment horizontal="left" vertical="center"/>
    </xf>
    <xf numFmtId="0" fontId="4" fillId="5" borderId="37" xfId="0" quotePrefix="1" applyFont="1" applyFill="1" applyBorder="1" applyAlignment="1">
      <alignment horizontal="center" vertical="center"/>
    </xf>
    <xf numFmtId="0" fontId="4" fillId="5" borderId="31" xfId="0" quotePrefix="1"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center"/>
    </xf>
    <xf numFmtId="0" fontId="0" fillId="7" borderId="2" xfId="0" applyFill="1" applyBorder="1" applyAlignment="1">
      <alignment horizontal="left" vertical="center"/>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2" xfId="0" quotePrefix="1" applyFont="1" applyFill="1" applyBorder="1" applyAlignment="1">
      <alignment horizontal="center"/>
    </xf>
    <xf numFmtId="0" fontId="4" fillId="5" borderId="2" xfId="0" quotePrefix="1" applyFont="1" applyFill="1" applyBorder="1" applyAlignment="1">
      <alignment horizontal="center" vertical="center"/>
    </xf>
    <xf numFmtId="0" fontId="4" fillId="5" borderId="16"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1" xfId="0" applyFont="1" applyFill="1" applyBorder="1" applyAlignment="1">
      <alignment horizontal="center" wrapText="1"/>
    </xf>
    <xf numFmtId="0" fontId="4" fillId="5" borderId="20" xfId="0" applyFont="1" applyFill="1" applyBorder="1" applyAlignment="1">
      <alignment horizontal="center"/>
    </xf>
    <xf numFmtId="0" fontId="4" fillId="5" borderId="2" xfId="0" applyFont="1" applyFill="1" applyBorder="1" applyAlignment="1">
      <alignment horizontal="center" wrapText="1"/>
    </xf>
    <xf numFmtId="0" fontId="4" fillId="5" borderId="21" xfId="0" applyFont="1" applyFill="1" applyBorder="1" applyAlignment="1">
      <alignment horizontal="center"/>
    </xf>
    <xf numFmtId="0" fontId="4" fillId="5" borderId="33" xfId="0" applyFont="1" applyFill="1" applyBorder="1" applyAlignment="1">
      <alignment horizontal="center" wrapText="1"/>
    </xf>
    <xf numFmtId="0" fontId="4" fillId="5" borderId="38" xfId="0" applyFont="1" applyFill="1" applyBorder="1" applyAlignment="1">
      <alignment horizontal="center" wrapText="1"/>
    </xf>
    <xf numFmtId="0" fontId="4" fillId="5" borderId="22" xfId="0" applyFont="1" applyFill="1" applyBorder="1" applyAlignment="1">
      <alignment horizontal="center" wrapText="1"/>
    </xf>
    <xf numFmtId="0" fontId="4" fillId="5" borderId="26" xfId="0" applyFont="1" applyFill="1" applyBorder="1" applyAlignment="1">
      <alignment horizontal="center" wrapText="1"/>
    </xf>
    <xf numFmtId="0" fontId="4" fillId="5" borderId="23" xfId="0" applyFont="1" applyFill="1" applyBorder="1" applyAlignment="1">
      <alignment horizontal="center"/>
    </xf>
    <xf numFmtId="0" fontId="4" fillId="5" borderId="27" xfId="0" applyFont="1" applyFill="1" applyBorder="1" applyAlignment="1">
      <alignment horizontal="center"/>
    </xf>
    <xf numFmtId="0" fontId="4" fillId="5" borderId="37" xfId="0" applyFont="1" applyFill="1" applyBorder="1" applyAlignment="1">
      <alignment horizontal="center" wrapText="1"/>
    </xf>
    <xf numFmtId="0" fontId="4" fillId="5" borderId="31" xfId="0" applyFont="1" applyFill="1" applyBorder="1" applyAlignment="1">
      <alignment horizontal="center" wrapText="1"/>
    </xf>
    <xf numFmtId="0" fontId="4" fillId="5" borderId="37" xfId="0" applyFont="1" applyFill="1" applyBorder="1" applyAlignment="1">
      <alignment horizontal="center"/>
    </xf>
    <xf numFmtId="0" fontId="4" fillId="5" borderId="23" xfId="0" applyFont="1" applyFill="1" applyBorder="1" applyAlignment="1">
      <alignment horizontal="center" wrapText="1"/>
    </xf>
    <xf numFmtId="0" fontId="4" fillId="5" borderId="27" xfId="0" applyFont="1" applyFill="1" applyBorder="1" applyAlignment="1">
      <alignment horizontal="center" wrapText="1"/>
    </xf>
    <xf numFmtId="0" fontId="4" fillId="5" borderId="22" xfId="0" applyFont="1" applyFill="1" applyBorder="1" applyAlignment="1">
      <alignment horizontal="center"/>
    </xf>
    <xf numFmtId="0" fontId="4" fillId="5" borderId="26" xfId="0" applyFont="1" applyFill="1" applyBorder="1" applyAlignment="1">
      <alignment horizontal="center"/>
    </xf>
    <xf numFmtId="0" fontId="4" fillId="0" borderId="0" xfId="0" applyFont="1" applyAlignment="1">
      <alignment horizontal="center"/>
    </xf>
    <xf numFmtId="0" fontId="10" fillId="0" borderId="11" xfId="0" applyFont="1" applyBorder="1" applyAlignment="1">
      <alignment horizontal="left" wrapText="1"/>
    </xf>
    <xf numFmtId="0" fontId="4" fillId="5" borderId="3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0" fillId="7" borderId="17" xfId="0" applyFill="1" applyBorder="1" applyAlignment="1">
      <alignment horizontal="left" vertical="center"/>
    </xf>
    <xf numFmtId="0" fontId="0" fillId="7" borderId="0" xfId="0" applyFill="1" applyAlignment="1">
      <alignment horizontal="left" vertical="center"/>
    </xf>
    <xf numFmtId="0" fontId="0" fillId="7" borderId="36" xfId="0" applyFill="1" applyBorder="1" applyAlignment="1">
      <alignment horizontal="left" vertical="center"/>
    </xf>
    <xf numFmtId="0" fontId="4" fillId="5" borderId="24"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0" fillId="7" borderId="2" xfId="0" applyFill="1" applyBorder="1" applyAlignment="1">
      <alignment horizontal="left" vertical="center" wrapText="1"/>
    </xf>
    <xf numFmtId="0" fontId="23" fillId="5" borderId="3" xfId="0" applyFont="1" applyFill="1" applyBorder="1" applyAlignment="1">
      <alignment horizontal="left"/>
    </xf>
    <xf numFmtId="0" fontId="23" fillId="5" borderId="12" xfId="0" applyFont="1" applyFill="1" applyBorder="1" applyAlignment="1">
      <alignment horizontal="left"/>
    </xf>
    <xf numFmtId="0" fontId="8" fillId="4" borderId="3" xfId="0" applyFont="1" applyFill="1" applyBorder="1" applyAlignment="1">
      <alignment horizontal="left"/>
    </xf>
    <xf numFmtId="0" fontId="8" fillId="4" borderId="12" xfId="0" applyFont="1" applyFill="1" applyBorder="1" applyAlignment="1">
      <alignment horizontal="left"/>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8" fillId="4" borderId="1" xfId="0" applyFont="1" applyFill="1" applyBorder="1" applyAlignment="1">
      <alignment horizontal="left"/>
    </xf>
    <xf numFmtId="0" fontId="12" fillId="0" borderId="3" xfId="0" applyFont="1" applyBorder="1" applyAlignment="1">
      <alignment horizontal="right"/>
    </xf>
    <xf numFmtId="0" fontId="12" fillId="0" borderId="4" xfId="0" applyFont="1" applyBorder="1" applyAlignment="1">
      <alignment horizontal="right"/>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0" fillId="0" borderId="9" xfId="0" applyBorder="1" applyAlignment="1">
      <alignment horizontal="left" vertical="center" wrapText="1"/>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8" fillId="4" borderId="3" xfId="0" applyFont="1" applyFill="1" applyBorder="1" applyAlignment="1">
      <alignment horizontal="center"/>
    </xf>
    <xf numFmtId="0" fontId="8" fillId="4" borderId="12" xfId="0" applyFont="1" applyFill="1" applyBorder="1" applyAlignment="1">
      <alignment horizontal="center"/>
    </xf>
    <xf numFmtId="0" fontId="8" fillId="4" borderId="4" xfId="0" applyFont="1" applyFill="1" applyBorder="1" applyAlignment="1">
      <alignment horizontal="center"/>
    </xf>
  </cellXfs>
  <cellStyles count="23">
    <cellStyle name="Area" xfId="13" xr:uid="{ACB575D7-A040-4DCD-B6AC-CB064EBCDF91}"/>
    <cellStyle name="Date Short" xfId="15" xr:uid="{E6C8B299-228E-4C7D-9654-5451C2C360DC}"/>
    <cellStyle name="DNT" xfId="11" xr:uid="{976E1BE4-ED09-499D-AA38-1D0029F9B025}"/>
    <cellStyle name="Error Checking" xfId="12" xr:uid="{12F77A8A-FE80-4A3F-97A7-0CBE12992BB1}"/>
    <cellStyle name="Exported" xfId="19" xr:uid="{1536A721-9DB7-4D6D-853E-F6C46E30D677}"/>
    <cellStyle name="Formulas" xfId="7" xr:uid="{85864F89-63CB-491A-8E0F-DE6768B3CA69}"/>
    <cellStyle name="Hyperlink 2" xfId="14" xr:uid="{6FA05D9B-4502-436F-9E13-C047E047A01F}"/>
    <cellStyle name="Imported" xfId="9" xr:uid="{682DDB98-80ED-4723-8F8E-936B8DE424E1}"/>
    <cellStyle name="Inputs" xfId="5" xr:uid="{53E21FD3-5E86-4DA3-8E40-F6FAB23DEBF8}"/>
    <cellStyle name="Month" xfId="16" xr:uid="{1B3EE9F3-A956-4682-8043-3CE63D495A71}"/>
    <cellStyle name="Percent 5" xfId="17" xr:uid="{B71CD6A2-A87F-4341-BC7C-3E5E7C724840}"/>
    <cellStyle name="Placeholder" xfId="10" xr:uid="{F426F7D0-CF31-4C04-ADF5-A10E028BE727}"/>
    <cellStyle name="Sum" xfId="8" xr:uid="{818D70F7-EA4F-4BBA-9324-E43DD13FF9C3}"/>
    <cellStyle name="Total HENGAS" xfId="6" xr:uid="{AF5DC1A5-5A4A-486C-A8FC-0E25CF7763BB}"/>
    <cellStyle name="Year" xfId="18" xr:uid="{9410D43A-87A7-496E-9E93-A5476BEC7F41}"/>
    <cellStyle name="Κανονικό" xfId="0" builtinId="0"/>
    <cellStyle name="Κανονικό 2" xfId="4" xr:uid="{6B828F81-DF0C-4018-BD08-A0BF3CB6D4BE}"/>
    <cellStyle name="Κανονικό 2 2" xfId="22" xr:uid="{57C1595B-2A82-47B1-AAE1-552055FF5C9C}"/>
    <cellStyle name="Κόμμα" xfId="1" builtinId="3"/>
    <cellStyle name="Κόμμα 2" xfId="21" xr:uid="{D4665BE6-346C-45FD-A334-48100336EC2E}"/>
    <cellStyle name="Ποσοστό" xfId="2" builtinId="5"/>
    <cellStyle name="Ποσοστό 2" xfId="20" xr:uid="{04A1354E-BE7A-4BE0-8B4C-B59595957CA1}"/>
    <cellStyle name="Υπερ-σύνδεση" xfId="3" builtinId="8"/>
  </cellStyles>
  <dxfs count="32">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40</xdr:row>
      <xdr:rowOff>371475</xdr:rowOff>
    </xdr:from>
    <xdr:to>
      <xdr:col>7</xdr:col>
      <xdr:colOff>438150</xdr:colOff>
      <xdr:row>40</xdr:row>
      <xdr:rowOff>689354</xdr:rowOff>
    </xdr:to>
    <xdr:pic>
      <xdr:nvPicPr>
        <xdr:cNvPr id="3" name="Picture 2">
          <a:extLst>
            <a:ext uri="{FF2B5EF4-FFF2-40B4-BE49-F238E27FC236}">
              <a16:creationId xmlns:a16="http://schemas.microsoft.com/office/drawing/2014/main" id="{A184CB85-0A40-46EA-9F1C-AB61C301A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7191375"/>
          <a:ext cx="491109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4" name="Picture 3">
          <a:extLst>
            <a:ext uri="{FF2B5EF4-FFF2-40B4-BE49-F238E27FC236}">
              <a16:creationId xmlns:a16="http://schemas.microsoft.com/office/drawing/2014/main" id="{6A9D7A4E-3AD3-40FB-9284-26B9E836BA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50" y="9791700"/>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5" name="Picture 4">
          <a:extLst>
            <a:ext uri="{FF2B5EF4-FFF2-40B4-BE49-F238E27FC236}">
              <a16:creationId xmlns:a16="http://schemas.microsoft.com/office/drawing/2014/main" id="{EE978A77-362B-4D41-99D2-807051BC2C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8900" y="11401425"/>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6" name="Picture 5">
          <a:extLst>
            <a:ext uri="{FF2B5EF4-FFF2-40B4-BE49-F238E27FC236}">
              <a16:creationId xmlns:a16="http://schemas.microsoft.com/office/drawing/2014/main" id="{B4671DA5-29F1-418D-8368-E1E945F735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7027" y="12801600"/>
          <a:ext cx="45141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7" name="Picture 6">
          <a:extLst>
            <a:ext uri="{FF2B5EF4-FFF2-40B4-BE49-F238E27FC236}">
              <a16:creationId xmlns:a16="http://schemas.microsoft.com/office/drawing/2014/main" id="{E5C352AF-CDCC-4776-9AE4-C83240806C6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3195" y="14030325"/>
          <a:ext cx="489224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ggelidis\Desktop\Hengas%20Tariff%202022-2025%2009112021%20-%20ME%20&#917;&#931;&#928;&#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ssumptions"/>
      <sheetName val="ΣΥΝΟΨΗ"/>
      <sheetName val="HENGAS"/>
      <sheetName val="1. ΔΕΣΚΑΤΗ"/>
      <sheetName val="2. ΜΕΓΑΛΟΠΟΛΗ"/>
      <sheetName val="3. ΕΔΕΣΣΑ"/>
      <sheetName val="4. ΠΟΛΥΓΥΡΟΣ"/>
      <sheetName val="5. ΠΑΙΟΝΙΑ"/>
      <sheetName val="6. ΚΟΡΙΝΘΟΣ"/>
      <sheetName val="7. ΤΡΙΠΟΛΗ"/>
      <sheetName val="8. ΝΑΟΥΣΑ"/>
      <sheetName val="9. ΣΚΥΔΡΑ"/>
      <sheetName val="Debt"/>
    </sheetNames>
    <sheetDataSet>
      <sheetData sheetId="0" refreshError="1"/>
      <sheetData sheetId="1" refreshError="1"/>
      <sheetData sheetId="2" refreshError="1"/>
      <sheetData sheetId="3" refreshError="1"/>
      <sheetData sheetId="4" refreshError="1">
        <row r="8">
          <cell r="U8">
            <v>150</v>
          </cell>
        </row>
        <row r="10">
          <cell r="X10"/>
          <cell r="Y10"/>
        </row>
        <row r="11">
          <cell r="X11"/>
          <cell r="Y11"/>
        </row>
        <row r="12">
          <cell r="W12"/>
          <cell r="X12"/>
        </row>
        <row r="13">
          <cell r="W13"/>
          <cell r="X13"/>
        </row>
        <row r="14">
          <cell r="W14"/>
          <cell r="X14"/>
        </row>
        <row r="15">
          <cell r="W15"/>
          <cell r="X15"/>
        </row>
        <row r="16">
          <cell r="W16"/>
          <cell r="X16"/>
        </row>
        <row r="17">
          <cell r="W17"/>
          <cell r="X17"/>
        </row>
        <row r="18">
          <cell r="U18">
            <v>0</v>
          </cell>
        </row>
        <row r="19">
          <cell r="U19">
            <v>0</v>
          </cell>
        </row>
      </sheetData>
      <sheetData sheetId="5" refreshError="1">
        <row r="8">
          <cell r="U8">
            <v>850</v>
          </cell>
        </row>
        <row r="12">
          <cell r="X12"/>
        </row>
        <row r="13">
          <cell r="X13"/>
        </row>
        <row r="14">
          <cell r="X14"/>
        </row>
        <row r="15">
          <cell r="X15"/>
        </row>
        <row r="18">
          <cell r="V18"/>
          <cell r="W18"/>
          <cell r="X18"/>
        </row>
      </sheetData>
      <sheetData sheetId="6" refreshError="1"/>
      <sheetData sheetId="7" refreshError="1"/>
      <sheetData sheetId="8" refreshError="1"/>
      <sheetData sheetId="9" refreshError="1"/>
      <sheetData sheetId="10" refreshError="1">
        <row r="8">
          <cell r="U8">
            <v>570</v>
          </cell>
        </row>
        <row r="18">
          <cell r="V18">
            <v>2</v>
          </cell>
          <cell r="W18">
            <v>2</v>
          </cell>
          <cell r="X18">
            <v>1</v>
          </cell>
        </row>
      </sheetData>
      <sheetData sheetId="11" refreshError="1"/>
      <sheetData sheetId="12" refreshError="1">
        <row r="8">
          <cell r="U8">
            <v>220</v>
          </cell>
        </row>
        <row r="18">
          <cell r="V18">
            <v>2</v>
          </cell>
          <cell r="W18">
            <v>2</v>
          </cell>
          <cell r="X18">
            <v>1</v>
          </cell>
        </row>
      </sheetData>
      <sheetData sheetId="13"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workbookViewId="0">
      <selection activeCell="B1" sqref="B1"/>
    </sheetView>
  </sheetViews>
  <sheetFormatPr defaultRowHeight="15" x14ac:dyDescent="0.25"/>
  <cols>
    <col min="1" max="1" width="2.85546875" customWidth="1"/>
    <col min="2" max="2" width="29.42578125" customWidth="1"/>
    <col min="3" max="3" width="20" customWidth="1"/>
    <col min="4" max="4" width="22.5703125" customWidth="1"/>
  </cols>
  <sheetData>
    <row r="3" spans="2:10" ht="18.75" x14ac:dyDescent="0.3">
      <c r="B3" s="1" t="s">
        <v>1</v>
      </c>
      <c r="C3" s="346" t="s">
        <v>302</v>
      </c>
      <c r="D3" s="346"/>
      <c r="E3" s="346"/>
      <c r="F3" s="346"/>
      <c r="G3" s="346"/>
      <c r="H3" s="346"/>
    </row>
    <row r="4" spans="2:10" ht="18.75" x14ac:dyDescent="0.3">
      <c r="B4" s="2" t="s">
        <v>2</v>
      </c>
      <c r="C4" s="47">
        <v>2023</v>
      </c>
      <c r="D4" s="48" t="s">
        <v>0</v>
      </c>
      <c r="E4" s="48">
        <f>C4+4</f>
        <v>2027</v>
      </c>
    </row>
    <row r="6" spans="2:10" ht="32.450000000000003" customHeight="1" x14ac:dyDescent="0.25">
      <c r="B6" s="348" t="s">
        <v>212</v>
      </c>
      <c r="C6" s="348"/>
      <c r="D6" s="348"/>
      <c r="E6" s="348"/>
      <c r="F6" s="348"/>
      <c r="G6" s="348"/>
      <c r="H6" s="348"/>
      <c r="I6" s="348"/>
      <c r="J6" s="348"/>
    </row>
    <row r="8" spans="2:10" ht="21" x14ac:dyDescent="0.35">
      <c r="B8" s="107" t="s">
        <v>92</v>
      </c>
      <c r="C8" s="110"/>
      <c r="D8" s="110"/>
      <c r="E8" s="110"/>
      <c r="F8" s="110"/>
      <c r="G8" s="110"/>
      <c r="H8" s="110"/>
      <c r="I8" s="110"/>
      <c r="J8" s="110"/>
    </row>
    <row r="9" spans="2:10" ht="9" customHeight="1" x14ac:dyDescent="0.35">
      <c r="B9" s="108"/>
    </row>
    <row r="10" spans="2:10" ht="15.75" x14ac:dyDescent="0.25">
      <c r="B10" s="106" t="s">
        <v>133</v>
      </c>
    </row>
    <row r="11" spans="2:10" x14ac:dyDescent="0.25">
      <c r="B11" s="105" t="s">
        <v>164</v>
      </c>
    </row>
    <row r="12" spans="2:10" x14ac:dyDescent="0.25">
      <c r="B12" s="133" t="s">
        <v>282</v>
      </c>
    </row>
    <row r="13" spans="2:10" x14ac:dyDescent="0.25">
      <c r="B13" s="134" t="s">
        <v>130</v>
      </c>
    </row>
    <row r="14" spans="2:10" x14ac:dyDescent="0.25">
      <c r="B14" s="134" t="s">
        <v>131</v>
      </c>
    </row>
    <row r="15" spans="2:10" x14ac:dyDescent="0.25">
      <c r="B15" s="134" t="s">
        <v>176</v>
      </c>
    </row>
    <row r="16" spans="2:10" x14ac:dyDescent="0.25">
      <c r="B16" s="134" t="s">
        <v>132</v>
      </c>
    </row>
    <row r="17" spans="2:2" x14ac:dyDescent="0.25">
      <c r="B17" s="134" t="s">
        <v>141</v>
      </c>
    </row>
    <row r="18" spans="2:2" x14ac:dyDescent="0.25">
      <c r="B18" s="134" t="s">
        <v>147</v>
      </c>
    </row>
    <row r="19" spans="2:2" x14ac:dyDescent="0.25">
      <c r="B19" s="133" t="s">
        <v>149</v>
      </c>
    </row>
    <row r="20" spans="2:2" x14ac:dyDescent="0.25">
      <c r="B20" s="134" t="s">
        <v>151</v>
      </c>
    </row>
    <row r="21" spans="2:2" x14ac:dyDescent="0.25">
      <c r="B21" s="134" t="s">
        <v>153</v>
      </c>
    </row>
    <row r="22" spans="2:2" x14ac:dyDescent="0.25">
      <c r="B22" s="134" t="s">
        <v>154</v>
      </c>
    </row>
    <row r="23" spans="2:2" x14ac:dyDescent="0.25">
      <c r="B23" s="134" t="s">
        <v>98</v>
      </c>
    </row>
    <row r="24" spans="2:2" ht="9" customHeight="1" x14ac:dyDescent="0.25">
      <c r="B24" s="105"/>
    </row>
    <row r="25" spans="2:2" ht="15.75" x14ac:dyDescent="0.25">
      <c r="B25" s="106" t="s">
        <v>127</v>
      </c>
    </row>
    <row r="26" spans="2:2" x14ac:dyDescent="0.25">
      <c r="B26" s="105" t="s">
        <v>128</v>
      </c>
    </row>
    <row r="27" spans="2:2" x14ac:dyDescent="0.25">
      <c r="B27" s="105" t="s">
        <v>129</v>
      </c>
    </row>
    <row r="29" spans="2:2" ht="15.75" x14ac:dyDescent="0.25">
      <c r="B29" s="106" t="s">
        <v>100</v>
      </c>
    </row>
    <row r="30" spans="2:2" x14ac:dyDescent="0.25">
      <c r="B30" s="148" t="s">
        <v>156</v>
      </c>
    </row>
    <row r="31" spans="2:2" x14ac:dyDescent="0.25">
      <c r="B31" s="148" t="s">
        <v>211</v>
      </c>
    </row>
    <row r="32" spans="2:2" x14ac:dyDescent="0.25">
      <c r="B32" s="148" t="s">
        <v>157</v>
      </c>
    </row>
    <row r="33" spans="2:11" x14ac:dyDescent="0.25">
      <c r="B33" s="105" t="s">
        <v>99</v>
      </c>
    </row>
    <row r="34" spans="2:11" ht="9" customHeight="1" x14ac:dyDescent="0.25">
      <c r="B34" s="105"/>
    </row>
    <row r="37" spans="2:11" ht="21" x14ac:dyDescent="0.35">
      <c r="B37" s="107" t="s">
        <v>177</v>
      </c>
      <c r="C37" s="110"/>
      <c r="D37" s="110"/>
      <c r="E37" s="110"/>
      <c r="F37" s="110"/>
      <c r="G37" s="110"/>
      <c r="H37" s="110"/>
      <c r="I37" s="110"/>
      <c r="J37" s="110"/>
    </row>
    <row r="39" spans="2:11" ht="27" customHeight="1" x14ac:dyDescent="0.25">
      <c r="B39" s="143" t="s">
        <v>180</v>
      </c>
      <c r="C39" s="347" t="s">
        <v>179</v>
      </c>
      <c r="D39" s="347"/>
      <c r="E39" s="347"/>
      <c r="F39" s="347"/>
      <c r="G39" s="347"/>
      <c r="H39" s="347"/>
      <c r="I39" s="347"/>
      <c r="J39" s="347"/>
    </row>
    <row r="40" spans="2:11" ht="27" customHeight="1" x14ac:dyDescent="0.25">
      <c r="B40" s="144" t="s">
        <v>181</v>
      </c>
      <c r="C40" s="343" t="s">
        <v>183</v>
      </c>
      <c r="D40" s="344"/>
      <c r="E40" s="344"/>
      <c r="F40" s="344"/>
      <c r="G40" s="344"/>
      <c r="H40" s="344"/>
      <c r="I40" s="344"/>
      <c r="J40" s="345"/>
    </row>
    <row r="41" spans="2:11" ht="136.15" customHeight="1" x14ac:dyDescent="0.25">
      <c r="B41" s="143" t="s">
        <v>178</v>
      </c>
      <c r="C41" s="347" t="s">
        <v>182</v>
      </c>
      <c r="D41" s="347"/>
      <c r="E41" s="347"/>
      <c r="F41" s="347"/>
      <c r="G41" s="347"/>
      <c r="H41" s="347"/>
      <c r="I41" s="347"/>
      <c r="J41" s="347"/>
      <c r="K41" s="142"/>
    </row>
    <row r="42" spans="2:11" ht="126" customHeight="1" x14ac:dyDescent="0.25">
      <c r="B42" s="143" t="s">
        <v>32</v>
      </c>
      <c r="C42" s="347" t="s">
        <v>186</v>
      </c>
      <c r="D42" s="347"/>
      <c r="E42" s="347"/>
      <c r="F42" s="347"/>
      <c r="G42" s="347"/>
      <c r="H42" s="347"/>
      <c r="I42" s="347"/>
      <c r="J42" s="347"/>
    </row>
    <row r="43" spans="2:11" ht="123.6" customHeight="1" x14ac:dyDescent="0.25">
      <c r="B43" s="143" t="s">
        <v>94</v>
      </c>
      <c r="C43" s="347" t="s">
        <v>187</v>
      </c>
      <c r="D43" s="347"/>
      <c r="E43" s="347"/>
      <c r="F43" s="347"/>
      <c r="G43" s="347"/>
      <c r="H43" s="347"/>
      <c r="I43" s="347"/>
      <c r="J43" s="347"/>
    </row>
    <row r="44" spans="2:11" ht="53.45" customHeight="1" x14ac:dyDescent="0.25">
      <c r="B44" s="143" t="s">
        <v>184</v>
      </c>
      <c r="C44" s="347" t="s">
        <v>188</v>
      </c>
      <c r="D44" s="347"/>
      <c r="E44" s="347"/>
      <c r="F44" s="347"/>
      <c r="G44" s="347"/>
      <c r="H44" s="347"/>
      <c r="I44" s="347"/>
      <c r="J44" s="347"/>
    </row>
    <row r="45" spans="2:11" ht="96" customHeight="1" x14ac:dyDescent="0.25">
      <c r="B45" s="143" t="s">
        <v>185</v>
      </c>
      <c r="C45" s="347" t="s">
        <v>189</v>
      </c>
      <c r="D45" s="347"/>
      <c r="E45" s="347"/>
      <c r="F45" s="347"/>
      <c r="G45" s="347"/>
      <c r="H45" s="347"/>
      <c r="I45" s="347"/>
      <c r="J45" s="347"/>
    </row>
    <row r="46" spans="2:11" ht="71.45" customHeight="1" x14ac:dyDescent="0.25">
      <c r="B46" s="143" t="s">
        <v>190</v>
      </c>
      <c r="C46" s="347" t="s">
        <v>191</v>
      </c>
      <c r="D46" s="347"/>
      <c r="E46" s="347"/>
      <c r="F46" s="347"/>
      <c r="G46" s="347"/>
      <c r="H46" s="347"/>
      <c r="I46" s="347"/>
      <c r="J46" s="347"/>
    </row>
    <row r="47" spans="2:11" x14ac:dyDescent="0.25">
      <c r="B47" s="143" t="s">
        <v>192</v>
      </c>
      <c r="C47" s="347" t="s">
        <v>193</v>
      </c>
      <c r="D47" s="347"/>
      <c r="E47" s="347"/>
      <c r="F47" s="347"/>
      <c r="G47" s="347"/>
      <c r="H47" s="347"/>
      <c r="I47" s="347"/>
      <c r="J47" s="347"/>
    </row>
    <row r="48" spans="2:11" ht="84" customHeight="1" x14ac:dyDescent="0.25">
      <c r="B48" s="144" t="s">
        <v>194</v>
      </c>
      <c r="C48" s="347" t="s">
        <v>195</v>
      </c>
      <c r="D48" s="347"/>
      <c r="E48" s="347"/>
      <c r="F48" s="347"/>
      <c r="G48" s="347"/>
      <c r="H48" s="347"/>
      <c r="I48" s="347"/>
      <c r="J48" s="347"/>
    </row>
    <row r="49" spans="2:10" ht="30" customHeight="1" x14ac:dyDescent="0.25">
      <c r="B49" s="143" t="s">
        <v>197</v>
      </c>
      <c r="C49" s="347" t="s">
        <v>196</v>
      </c>
      <c r="D49" s="347"/>
      <c r="E49" s="347"/>
      <c r="F49" s="347"/>
      <c r="G49" s="347"/>
      <c r="H49" s="347"/>
      <c r="I49" s="347"/>
      <c r="J49" s="347"/>
    </row>
    <row r="50" spans="2:10" ht="28.15" customHeight="1" x14ac:dyDescent="0.25">
      <c r="B50" s="143" t="s">
        <v>52</v>
      </c>
      <c r="C50" s="347" t="s">
        <v>198</v>
      </c>
      <c r="D50" s="347"/>
      <c r="E50" s="347"/>
      <c r="F50" s="347"/>
      <c r="G50" s="347"/>
      <c r="H50" s="347"/>
      <c r="I50" s="347"/>
      <c r="J50" s="347"/>
    </row>
    <row r="51" spans="2:10" x14ac:dyDescent="0.25">
      <c r="B51" s="143" t="s">
        <v>206</v>
      </c>
      <c r="C51" s="343" t="s">
        <v>273</v>
      </c>
      <c r="D51" s="344"/>
      <c r="E51" s="344"/>
      <c r="F51" s="344"/>
      <c r="G51" s="344"/>
      <c r="H51" s="344"/>
      <c r="I51" s="344"/>
      <c r="J51" s="345"/>
    </row>
    <row r="52" spans="2:10" ht="25.5" x14ac:dyDescent="0.25">
      <c r="B52" s="144" t="s">
        <v>274</v>
      </c>
      <c r="C52" s="343" t="s">
        <v>275</v>
      </c>
      <c r="D52" s="344"/>
      <c r="E52" s="344"/>
      <c r="F52" s="344"/>
      <c r="G52" s="344"/>
      <c r="H52" s="344"/>
      <c r="I52" s="344"/>
      <c r="J52" s="345"/>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29" location="'Συνολικό δίκτυο -&gt;'!A1" display="Συνολικό δίκτυο-&gt;" xr:uid="{B021AE16-A224-4F09-B241-FED0A792F292}"/>
    <hyperlink ref="B30" location="'Στοιχεία συνολικού δικτύου'!A1" display="Στοιχεία συνολικού δικτύου" xr:uid="{A0E828F1-A60F-42FD-B1BE-10B4C1C17AAB}"/>
    <hyperlink ref="B32" location="'Συνολικοί δείκτες απόδοσης'!A1" display="Συνολικοί δείκτες απόδοσης" xr:uid="{64DC6337-817B-4875-B078-9862D481C768}"/>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 -&gt;'!A1" display="Ανάλυση δήμων-&gt;" xr:uid="{D7A6A722-A2F0-45DB-B31C-99899341FFD4}"/>
    <hyperlink ref="B13" location="'Ανάπτυξη δικτύου'!A1" display="Ανάπτυξη δικτύου" xr:uid="{47C8BAF8-9DD0-47EC-B9AB-B52FFFB7899C}"/>
    <hyperlink ref="B14" location="'Ενεργές συνδέσεις'!A1" display="Ενεργές συνδέσεις" xr:uid="{92C2A54C-5E36-46C4-8CF6-D1A8200860BB}"/>
    <hyperlink ref="B16" location="'Ενεργοί πελάτες'!A1" display="Ενεργοί πελάτες" xr:uid="{401F89C2-6523-4F23-909E-69769B33C47A}"/>
    <hyperlink ref="B12" location="'Ανάλυση για νέους πελάτες'!A1" display="Ανάλυση για νέους πελάτες" xr:uid="{B064BC07-5721-4154-BC92-91C24B4B9950}"/>
    <hyperlink ref="B17" location="'Μέση ετήσια κατανάλωση'!A1" display="Μέση ετήσια κατανάλωση" xr:uid="{AE8EB774-8306-4BFC-9C68-D5F83F56511B}"/>
    <hyperlink ref="B18" location="'Διανεμόμενες ποσότητες αερίου'!A1" display="Διανεμόμενες ποσότητες αερίου" xr:uid="{E8B9D163-DC94-4C10-BE91-D04A31975397}"/>
    <hyperlink ref="B19" location="'Παραδοχές μοναδιαίου κόστους'!A1" display="Παραδοχές μοναδιαίου κόστους" xr:uid="{FAC80CF0-CDF2-4D13-98F3-F0ABF0038F05}"/>
    <hyperlink ref="B20" location="Επενδύσεις!A1" display="Επενδύσεις ανάπτυξης / σύνδεσης" xr:uid="{408E1E46-84DF-47F5-BF4F-CF6A6389927D}"/>
    <hyperlink ref="B21" location="'Παραδοχές διείσδυσης - κάλυψης'!A1" display="Παραδοχές διείσδυσης - κάλυψης" xr:uid="{8D8603AB-869D-41CC-9281-C36EF7F2EE23}"/>
    <hyperlink ref="B22" location="'Δείκτες διείσδυσης - κάλυψης'!A1" display="Δείκτες διείσδυσης - κάλυψης" xr:uid="{E125092C-7913-4245-ABAF-7BD427FF7D0F}"/>
    <hyperlink ref="B23" location="'Δείκτες απόδοσης'!A1" display="Δείκτες απόδοσης" xr:uid="{125CE472-9598-4EC3-8FF9-06C0FE705709}"/>
    <hyperlink ref="B11" location="'Γενική περιγραφή'!A1" display="Γενική περιγραφή" xr:uid="{4B13EB2D-E8FE-4735-B201-F717B21346AF}"/>
    <hyperlink ref="B15" location="'Ενεργοί μετρητές'!A1" display="Ενεργοί μετρητές" xr:uid="{29CFB353-AEAB-424B-9D20-BF6A6015FDCA}"/>
    <hyperlink ref="B31" location="'Πρόγραμμα ανάπτυξης δικτύου'!A1" display="Πρόγραμμα ανάπτυξης δικτύου" xr:uid="{A831A95A-23D3-4097-ABA2-CC62B6CEAC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B2:AU176"/>
  <sheetViews>
    <sheetView showGridLines="0" tabSelected="1" zoomScaleNormal="100" workbookViewId="0">
      <selection activeCell="C2" sqref="C2:G2"/>
    </sheetView>
  </sheetViews>
  <sheetFormatPr defaultRowHeight="15" outlineLevelRow="1" x14ac:dyDescent="0.25"/>
  <cols>
    <col min="1" max="1" width="2.85546875" customWidth="1"/>
    <col min="2" max="2" width="28.28515625" customWidth="1"/>
    <col min="3" max="3" width="24.5703125" customWidth="1"/>
    <col min="4" max="15" width="13.7109375" customWidth="1"/>
    <col min="16" max="16" width="18.7109375" customWidth="1"/>
    <col min="17" max="17" width="1.7109375" customWidth="1"/>
    <col min="18" max="18" width="23.7109375" customWidth="1"/>
    <col min="19" max="19" width="24.85546875" customWidth="1"/>
    <col min="20" max="20" width="14.85546875" customWidth="1"/>
    <col min="21" max="21" width="13.7109375" customWidth="1"/>
    <col min="22" max="23" width="23.7109375" customWidth="1"/>
    <col min="24" max="24" width="15.140625" customWidth="1"/>
    <col min="25" max="25" width="24.85546875" customWidth="1"/>
    <col min="26" max="26" width="14.85546875" customWidth="1"/>
    <col min="27" max="27" width="13.7109375" customWidth="1"/>
    <col min="28" max="29" width="23.7109375" customWidth="1"/>
    <col min="30" max="30" width="12.85546875" customWidth="1"/>
    <col min="31" max="31" width="24.85546875" customWidth="1"/>
    <col min="32" max="32" width="14.85546875" customWidth="1"/>
    <col min="33" max="33" width="13.7109375" customWidth="1"/>
    <col min="34" max="35" width="23.7109375" customWidth="1"/>
    <col min="36" max="36" width="12.85546875" customWidth="1"/>
    <col min="37" max="37" width="24.85546875" customWidth="1"/>
    <col min="38" max="38" width="14.85546875" customWidth="1"/>
    <col min="39" max="39" width="13.7109375" customWidth="1"/>
    <col min="40" max="41" width="23.7109375" customWidth="1"/>
    <col min="42" max="42" width="12.85546875" customWidth="1"/>
    <col min="43" max="43" width="24.85546875" customWidth="1"/>
    <col min="44" max="44" width="14.85546875" customWidth="1"/>
    <col min="45" max="45" width="13.7109375" customWidth="1"/>
    <col min="46" max="46" width="22.5703125" customWidth="1"/>
    <col min="47" max="47" width="18.7109375" customWidth="1"/>
  </cols>
  <sheetData>
    <row r="2" spans="2:47" ht="18.75" x14ac:dyDescent="0.3">
      <c r="B2" s="1" t="s">
        <v>1</v>
      </c>
      <c r="C2" s="353" t="str">
        <f>'Αρχική σελίδα'!C3</f>
        <v>HENGAS</v>
      </c>
      <c r="D2" s="353"/>
      <c r="E2" s="353"/>
      <c r="F2" s="353"/>
      <c r="G2" s="353"/>
      <c r="H2" s="110"/>
      <c r="J2" s="354" t="s">
        <v>213</v>
      </c>
      <c r="K2" s="354"/>
      <c r="L2" s="354"/>
    </row>
    <row r="3" spans="2:47" ht="18.75" x14ac:dyDescent="0.3">
      <c r="B3" s="2" t="s">
        <v>2</v>
      </c>
      <c r="C3" s="111">
        <f>'Αρχική σελίδα'!C4</f>
        <v>2023</v>
      </c>
      <c r="D3" s="48" t="s">
        <v>0</v>
      </c>
      <c r="E3" s="48">
        <f>C3+4</f>
        <v>2027</v>
      </c>
    </row>
    <row r="4" spans="2:47" ht="14.45" customHeight="1" x14ac:dyDescent="0.3">
      <c r="C4" s="2"/>
      <c r="D4" s="48"/>
      <c r="E4" s="48"/>
    </row>
    <row r="5" spans="2:47" ht="101.45" customHeight="1" x14ac:dyDescent="0.25">
      <c r="B5" s="355" t="s">
        <v>280</v>
      </c>
      <c r="C5" s="355"/>
      <c r="D5" s="355"/>
      <c r="E5" s="355"/>
      <c r="F5" s="355"/>
      <c r="G5" s="355"/>
      <c r="H5" s="355"/>
      <c r="I5" s="355"/>
    </row>
    <row r="6" spans="2:47" x14ac:dyDescent="0.25">
      <c r="B6" s="271"/>
      <c r="C6" s="271"/>
      <c r="D6" s="271"/>
      <c r="E6" s="271"/>
      <c r="F6" s="271"/>
      <c r="G6" s="271"/>
      <c r="H6" s="271"/>
    </row>
    <row r="7" spans="2:47" ht="18.75" x14ac:dyDescent="0.3">
      <c r="B7" s="112"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(2018 - 2022) και για το Πρόγραμμα Ανάπτυξης  2023 - 2027</v>
      </c>
      <c r="C7" s="113"/>
      <c r="D7" s="113"/>
      <c r="E7" s="113"/>
      <c r="F7" s="113"/>
      <c r="G7" s="113"/>
      <c r="H7" s="110"/>
      <c r="I7" s="110"/>
      <c r="J7" s="110"/>
    </row>
    <row r="8" spans="2:47" ht="18.75" x14ac:dyDescent="0.3">
      <c r="B8" s="276"/>
      <c r="C8" s="57"/>
      <c r="D8" s="57"/>
      <c r="E8" s="57"/>
      <c r="F8" s="57"/>
      <c r="G8" s="57"/>
    </row>
    <row r="9" spans="2:47" ht="15.75" x14ac:dyDescent="0.25">
      <c r="B9" s="352" t="s">
        <v>11</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row>
    <row r="10" spans="2:47"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2:47" outlineLevel="1" x14ac:dyDescent="0.25">
      <c r="B11" s="400"/>
      <c r="C11" s="385" t="s">
        <v>20</v>
      </c>
      <c r="D11" s="372" t="s">
        <v>262</v>
      </c>
      <c r="E11" s="373"/>
      <c r="F11" s="373"/>
      <c r="G11" s="373"/>
      <c r="H11" s="373"/>
      <c r="I11" s="373"/>
      <c r="J11" s="373"/>
      <c r="K11" s="373"/>
      <c r="L11" s="374"/>
      <c r="M11" s="372" t="s">
        <v>277</v>
      </c>
      <c r="N11" s="374"/>
      <c r="O11" s="388" t="str">
        <f xml:space="preserve"> D12&amp;" - "&amp;M12</f>
        <v>2018 - 2022</v>
      </c>
      <c r="P11" s="398"/>
      <c r="R11" s="372" t="s">
        <v>261</v>
      </c>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4"/>
    </row>
    <row r="12" spans="2:47" outlineLevel="1" x14ac:dyDescent="0.25">
      <c r="B12" s="401"/>
      <c r="C12" s="386"/>
      <c r="D12" s="88">
        <f>$C$3-5</f>
        <v>2018</v>
      </c>
      <c r="E12" s="372">
        <f>$C$3-4</f>
        <v>2019</v>
      </c>
      <c r="F12" s="374"/>
      <c r="G12" s="372">
        <f>$C$3-3</f>
        <v>2020</v>
      </c>
      <c r="H12" s="374"/>
      <c r="I12" s="372">
        <f>$C$3-2</f>
        <v>2021</v>
      </c>
      <c r="J12" s="374"/>
      <c r="K12" s="372" t="str">
        <f>$C$3-1&amp;""&amp;" ("&amp;"Σεπτ"&amp;")"</f>
        <v>2022 (Σεπτ)</v>
      </c>
      <c r="L12" s="374"/>
      <c r="M12" s="372">
        <f>$C$3-1</f>
        <v>2022</v>
      </c>
      <c r="N12" s="374"/>
      <c r="O12" s="390"/>
      <c r="P12" s="399"/>
      <c r="R12" s="416">
        <f>$C$3</f>
        <v>2023</v>
      </c>
      <c r="S12" s="403"/>
      <c r="T12" s="403"/>
      <c r="U12" s="418"/>
      <c r="V12" s="416">
        <f>$C$3+1</f>
        <v>2024</v>
      </c>
      <c r="W12" s="403"/>
      <c r="X12" s="403"/>
      <c r="Y12" s="403"/>
      <c r="Z12" s="403"/>
      <c r="AA12" s="418"/>
      <c r="AB12" s="372">
        <f>$C$3+2</f>
        <v>2025</v>
      </c>
      <c r="AC12" s="373"/>
      <c r="AD12" s="373"/>
      <c r="AE12" s="373"/>
      <c r="AF12" s="373"/>
      <c r="AG12" s="374"/>
      <c r="AH12" s="372">
        <f>$C$3+3</f>
        <v>2026</v>
      </c>
      <c r="AI12" s="373"/>
      <c r="AJ12" s="373"/>
      <c r="AK12" s="373"/>
      <c r="AL12" s="373"/>
      <c r="AM12" s="374"/>
      <c r="AN12" s="372">
        <f>$C$3+4</f>
        <v>2027</v>
      </c>
      <c r="AO12" s="373"/>
      <c r="AP12" s="373"/>
      <c r="AQ12" s="373"/>
      <c r="AR12" s="373"/>
      <c r="AS12" s="374"/>
      <c r="AT12" s="376" t="str">
        <f>R12&amp;" - "&amp;AN12</f>
        <v>2023 - 2027</v>
      </c>
      <c r="AU12" s="392"/>
    </row>
    <row r="13" spans="2:47" ht="14.45" customHeight="1" outlineLevel="1" x14ac:dyDescent="0.25">
      <c r="B13" s="401"/>
      <c r="C13" s="386"/>
      <c r="D13" s="419" t="s">
        <v>142</v>
      </c>
      <c r="E13" s="421" t="s">
        <v>142</v>
      </c>
      <c r="F13" s="423" t="s">
        <v>81</v>
      </c>
      <c r="G13" s="421" t="s">
        <v>142</v>
      </c>
      <c r="H13" s="423" t="s">
        <v>81</v>
      </c>
      <c r="I13" s="421" t="s">
        <v>142</v>
      </c>
      <c r="J13" s="427" t="s">
        <v>81</v>
      </c>
      <c r="K13" s="421" t="s">
        <v>142</v>
      </c>
      <c r="L13" s="427" t="s">
        <v>81</v>
      </c>
      <c r="M13" s="421" t="s">
        <v>142</v>
      </c>
      <c r="N13" s="427" t="s">
        <v>81</v>
      </c>
      <c r="O13" s="421" t="s">
        <v>17</v>
      </c>
      <c r="P13" s="425" t="s">
        <v>83</v>
      </c>
      <c r="R13" s="421" t="str">
        <f>"Διανεμόμενες ποσότητες σε πελάτες που συνδέθηκαν το "&amp;R12</f>
        <v>Διανεμόμενες ποσότητες σε πελάτες που συνδέθηκαν το 2023</v>
      </c>
      <c r="S13" s="417" t="s">
        <v>146</v>
      </c>
      <c r="T13" s="417" t="s">
        <v>143</v>
      </c>
      <c r="U13" s="415" t="s">
        <v>81</v>
      </c>
      <c r="V13" s="416" t="s">
        <v>144</v>
      </c>
      <c r="W13" s="403"/>
      <c r="X13" s="403"/>
      <c r="Y13" s="417" t="s">
        <v>146</v>
      </c>
      <c r="Z13" s="417" t="s">
        <v>143</v>
      </c>
      <c r="AA13" s="418" t="s">
        <v>81</v>
      </c>
      <c r="AB13" s="416" t="s">
        <v>144</v>
      </c>
      <c r="AC13" s="403"/>
      <c r="AD13" s="403"/>
      <c r="AE13" s="417" t="s">
        <v>146</v>
      </c>
      <c r="AF13" s="417" t="s">
        <v>143</v>
      </c>
      <c r="AG13" s="418" t="s">
        <v>81</v>
      </c>
      <c r="AH13" s="416" t="s">
        <v>144</v>
      </c>
      <c r="AI13" s="403"/>
      <c r="AJ13" s="403"/>
      <c r="AK13" s="417" t="s">
        <v>146</v>
      </c>
      <c r="AL13" s="417" t="s">
        <v>143</v>
      </c>
      <c r="AM13" s="418" t="s">
        <v>81</v>
      </c>
      <c r="AN13" s="416" t="s">
        <v>144</v>
      </c>
      <c r="AO13" s="403"/>
      <c r="AP13" s="403"/>
      <c r="AQ13" s="417" t="s">
        <v>146</v>
      </c>
      <c r="AR13" s="417" t="s">
        <v>143</v>
      </c>
      <c r="AS13" s="418" t="s">
        <v>81</v>
      </c>
      <c r="AT13" s="430" t="s">
        <v>17</v>
      </c>
      <c r="AU13" s="428" t="s">
        <v>83</v>
      </c>
    </row>
    <row r="14" spans="2:47" ht="60" outlineLevel="1" x14ac:dyDescent="0.25">
      <c r="B14" s="402"/>
      <c r="C14" s="387"/>
      <c r="D14" s="420"/>
      <c r="E14" s="422"/>
      <c r="F14" s="424"/>
      <c r="G14" s="422"/>
      <c r="H14" s="424"/>
      <c r="I14" s="422"/>
      <c r="J14" s="380"/>
      <c r="K14" s="422"/>
      <c r="L14" s="380"/>
      <c r="M14" s="422"/>
      <c r="N14" s="380"/>
      <c r="O14" s="422"/>
      <c r="P14" s="426"/>
      <c r="R14" s="422"/>
      <c r="S14" s="417"/>
      <c r="T14" s="417"/>
      <c r="U14" s="415"/>
      <c r="V14" s="135" t="str">
        <f>"Διανεμόμενες ποσότητες σε πελάτες που συνδέθηκαν το "&amp;V12</f>
        <v>Διανεμόμενες ποσότητες σε πελάτες που συνδέθηκαν το 2024</v>
      </c>
      <c r="W14" s="117" t="str">
        <f>"Διανεμόμενες ποσότητες σε πελάτες που συνδέθηκαν το "&amp;R12</f>
        <v>Διανεμόμενες ποσότητες σε πελάτες που συνδέθηκαν το 2023</v>
      </c>
      <c r="X14" s="60" t="s">
        <v>145</v>
      </c>
      <c r="Y14" s="417"/>
      <c r="Z14" s="417"/>
      <c r="AA14" s="418"/>
      <c r="AB14" s="135" t="str">
        <f>"Διανεμόμενες ποσότητες σε πελάτες που συνδέθηκαν το "&amp;AB12</f>
        <v>Διανεμόμενες ποσότητες σε πελάτες που συνδέθηκαν το 2025</v>
      </c>
      <c r="AC14" s="117" t="str">
        <f>"Διανεμόμενες ποσότητες σε πελάτες που συνδέθηκαν το "&amp;$R$12&amp;" - "&amp;V12</f>
        <v>Διανεμόμενες ποσότητες σε πελάτες που συνδέθηκαν το 2023 - 2024</v>
      </c>
      <c r="AD14" s="60" t="s">
        <v>145</v>
      </c>
      <c r="AE14" s="417"/>
      <c r="AF14" s="417"/>
      <c r="AG14" s="418"/>
      <c r="AH14" s="135" t="str">
        <f>"Διανεμόμενες ποσότητες σε πελάτες που συνδέθηκαν το "&amp;AH12</f>
        <v>Διανεμόμενες ποσότητες σε πελάτες που συνδέθηκαν το 2026</v>
      </c>
      <c r="AI14" s="117" t="str">
        <f>"Διανεμόμενες ποσότητες σε πελάτες που συνδέθηκαν το "&amp;$R$12&amp;" - "&amp;AB12</f>
        <v>Διανεμόμενες ποσότητες σε πελάτες που συνδέθηκαν το 2023 - 2025</v>
      </c>
      <c r="AJ14" s="60" t="s">
        <v>145</v>
      </c>
      <c r="AK14" s="417"/>
      <c r="AL14" s="417"/>
      <c r="AM14" s="418"/>
      <c r="AN14" s="135" t="str">
        <f>"Διανεμόμενες ποσότητες σε πελάτες που συνδέθηκαν το "&amp;AN12</f>
        <v>Διανεμόμενες ποσότητες σε πελάτες που συνδέθηκαν το 2027</v>
      </c>
      <c r="AO14" s="117" t="str">
        <f>"Διανεμόμενες ποσότητες σε πελάτες που συνδέθηκαν το "&amp;$R$12&amp;" - "&amp;AH12</f>
        <v>Διανεμόμενες ποσότητες σε πελάτες που συνδέθηκαν το 2023 - 2026</v>
      </c>
      <c r="AP14" s="60" t="s">
        <v>145</v>
      </c>
      <c r="AQ14" s="417"/>
      <c r="AR14" s="417"/>
      <c r="AS14" s="418"/>
      <c r="AT14" s="431"/>
      <c r="AU14" s="429"/>
    </row>
    <row r="15" spans="2:47" outlineLevel="1" x14ac:dyDescent="0.25">
      <c r="B15" s="281" t="s">
        <v>283</v>
      </c>
      <c r="C15" s="64" t="s">
        <v>26</v>
      </c>
      <c r="D15" s="226">
        <f t="shared" ref="D15:E18" si="0">D40+D64+D88+D112+D136+D160</f>
        <v>0</v>
      </c>
      <c r="E15" s="188">
        <f t="shared" si="0"/>
        <v>0</v>
      </c>
      <c r="F15" s="203">
        <f t="shared" ref="F15:F18" si="1">IFERROR((E15-D15)/D15,0)</f>
        <v>0</v>
      </c>
      <c r="G15" s="188">
        <f>G40+G64+G88+G112+G136+G160</f>
        <v>0</v>
      </c>
      <c r="H15" s="203">
        <f>IFERROR((G15-E15)/E15,0)</f>
        <v>0</v>
      </c>
      <c r="I15" s="188">
        <f>I40+I64+I88+I112+I136+I160</f>
        <v>87</v>
      </c>
      <c r="J15" s="203">
        <f>IFERROR((I15-G15)/G15,0)</f>
        <v>0</v>
      </c>
      <c r="K15" s="188">
        <f>K40+K64+K88+K112+K136+K160</f>
        <v>520</v>
      </c>
      <c r="L15" s="157"/>
      <c r="M15" s="188">
        <f>M40+M64+M88+M112+M136+M160</f>
        <v>0</v>
      </c>
      <c r="N15" s="203">
        <f t="shared" ref="N15:N18" si="2">IFERROR((M15-I15)/I15,0)</f>
        <v>-1</v>
      </c>
      <c r="O15" s="198">
        <f t="shared" ref="O15:O18" si="3">D15+E15+G15+I15+M15</f>
        <v>87</v>
      </c>
      <c r="P15" s="199">
        <f t="shared" ref="P15:P18" si="4">IFERROR((M15/D15)^(1/4)-1,0)</f>
        <v>0</v>
      </c>
      <c r="R15" s="188">
        <f>R40+R64+R88+R112+R136+R160</f>
        <v>5935</v>
      </c>
      <c r="S15" s="187">
        <f>S40+S64+S88+S112+S136+S160</f>
        <v>0</v>
      </c>
      <c r="T15" s="187">
        <f>T40+T64+T88+T112+T136+T160</f>
        <v>5935</v>
      </c>
      <c r="U15" s="228"/>
      <c r="V15" s="188">
        <f>V40+V64+V88+V112+V136+V160</f>
        <v>8111</v>
      </c>
      <c r="W15" s="187">
        <f>W40+W64+W88+W112+W136+W160</f>
        <v>5935</v>
      </c>
      <c r="X15" s="187">
        <f>X40+X64+X88+X112+X136+X160</f>
        <v>14046</v>
      </c>
      <c r="Y15" s="187">
        <f>Y40+Y64+Y88+Y112+Y136+Y160</f>
        <v>0</v>
      </c>
      <c r="Z15" s="187">
        <f>Z40+Z64+Z88+Z112+Z136+Z160</f>
        <v>14046</v>
      </c>
      <c r="AA15" s="203">
        <f>IFERROR((Z15-T15)/T15,0)</f>
        <v>1.3666385846672282</v>
      </c>
      <c r="AB15" s="188">
        <f>AB40+AB64+AB88+AB112+AB136+AB160</f>
        <v>3675</v>
      </c>
      <c r="AC15" s="187">
        <f>AC40+AC64+AC88+AC112+AC136+AC160</f>
        <v>14046</v>
      </c>
      <c r="AD15" s="187">
        <f>AD40+AD64+AD88+AD112+AD136+AD160</f>
        <v>17721</v>
      </c>
      <c r="AE15" s="187">
        <f>AE40+AE64+AE88+AE112+AE136+AE160</f>
        <v>0</v>
      </c>
      <c r="AF15" s="187">
        <f>AF40+AF64+AF88+AF112+AF136+AF160</f>
        <v>17721</v>
      </c>
      <c r="AG15" s="203">
        <f t="shared" ref="AG15:AG18" si="5">IFERROR((AF15-Z15)/Z15,0)</f>
        <v>0.26164032464758652</v>
      </c>
      <c r="AH15" s="188">
        <f t="shared" ref="AH15:AL15" si="6">AH40+AH64+AH88+AH112+AH136+AH160</f>
        <v>1050</v>
      </c>
      <c r="AI15" s="187">
        <f t="shared" si="6"/>
        <v>17721</v>
      </c>
      <c r="AJ15" s="187">
        <f t="shared" si="6"/>
        <v>18771</v>
      </c>
      <c r="AK15" s="187">
        <f t="shared" si="6"/>
        <v>0</v>
      </c>
      <c r="AL15" s="187">
        <f t="shared" si="6"/>
        <v>18771</v>
      </c>
      <c r="AM15" s="203">
        <f>IFERROR((AL15-AF15)/AF15,0)</f>
        <v>5.9251735229388862E-2</v>
      </c>
      <c r="AN15" s="188">
        <f t="shared" ref="AN15:AR15" si="7">AN40+AN64+AN88+AN112+AN136+AN160</f>
        <v>560</v>
      </c>
      <c r="AO15" s="187">
        <f t="shared" si="7"/>
        <v>18771</v>
      </c>
      <c r="AP15" s="187">
        <f t="shared" si="7"/>
        <v>19331</v>
      </c>
      <c r="AQ15" s="187">
        <f t="shared" si="7"/>
        <v>0</v>
      </c>
      <c r="AR15" s="187">
        <f t="shared" si="7"/>
        <v>19331</v>
      </c>
      <c r="AS15" s="203">
        <f>IFERROR((AR15-AL15)/AL15,0)</f>
        <v>2.9833253422833092E-2</v>
      </c>
      <c r="AT15" s="198">
        <f>SUM(T15,Z15,AF15,AL15,AR15)-AR15</f>
        <v>56473</v>
      </c>
      <c r="AU15" s="199">
        <f t="shared" ref="AU15:AU18" si="8">IFERROR((AR15/T15)^(1/4)-1,0)</f>
        <v>0.34340945134776502</v>
      </c>
    </row>
    <row r="16" spans="2:47" outlineLevel="1" x14ac:dyDescent="0.25">
      <c r="B16" s="52" t="s">
        <v>284</v>
      </c>
      <c r="C16" s="64" t="s">
        <v>26</v>
      </c>
      <c r="D16" s="226">
        <f t="shared" si="0"/>
        <v>0</v>
      </c>
      <c r="E16" s="188">
        <f t="shared" si="0"/>
        <v>0</v>
      </c>
      <c r="F16" s="203">
        <f t="shared" si="1"/>
        <v>0</v>
      </c>
      <c r="G16" s="188">
        <f>G41+G65+G89+G113+G137+G161</f>
        <v>0</v>
      </c>
      <c r="H16" s="203">
        <f t="shared" ref="H16:J31" si="9">IFERROR((G16-E16)/E16,0)</f>
        <v>0</v>
      </c>
      <c r="I16" s="188">
        <f>I41+I65+I89+I113+I137+I161</f>
        <v>0</v>
      </c>
      <c r="J16" s="203">
        <f t="shared" si="9"/>
        <v>0</v>
      </c>
      <c r="K16" s="188">
        <f>K41+K65+K89+K113+K137+K161</f>
        <v>50</v>
      </c>
      <c r="L16" s="157"/>
      <c r="M16" s="188">
        <f>M41+M65+M89+M113+M137+M161</f>
        <v>0</v>
      </c>
      <c r="N16" s="203">
        <f t="shared" si="2"/>
        <v>0</v>
      </c>
      <c r="O16" s="198">
        <f t="shared" si="3"/>
        <v>0</v>
      </c>
      <c r="P16" s="199">
        <f t="shared" si="4"/>
        <v>0</v>
      </c>
      <c r="R16" s="188">
        <f t="shared" ref="R16" si="10">R41+R65+R89+R113+R137+R161</f>
        <v>5155</v>
      </c>
      <c r="S16" s="187">
        <f>S41+S65+S89+S113+S137+S161</f>
        <v>0</v>
      </c>
      <c r="T16" s="187">
        <f t="shared" ref="T16" si="11">T41+T65+T89+T113+T137+T161</f>
        <v>5155</v>
      </c>
      <c r="U16" s="228"/>
      <c r="V16" s="188">
        <f t="shared" ref="V16:X16" si="12">V41+V65+V89+V113+V137+V161</f>
        <v>6088.8235294117649</v>
      </c>
      <c r="W16" s="187">
        <f t="shared" si="12"/>
        <v>5155</v>
      </c>
      <c r="X16" s="187">
        <f t="shared" si="12"/>
        <v>11243.823529411764</v>
      </c>
      <c r="Y16" s="187">
        <f>Y41+Y65+Y89+Y113+Y137+Y161</f>
        <v>0</v>
      </c>
      <c r="Z16" s="187">
        <f t="shared" ref="Z16" si="13">Z41+Z65+Z89+Z113+Z137+Z161</f>
        <v>11243.823529411764</v>
      </c>
      <c r="AA16" s="203">
        <f t="shared" ref="AA16:AA18" si="14">IFERROR((Z16-T16)/T16,0)</f>
        <v>1.1811490842699832</v>
      </c>
      <c r="AB16" s="188">
        <f t="shared" ref="AB16:AD16" si="15">AB41+AB65+AB89+AB113+AB137+AB161</f>
        <v>5568.8235294117649</v>
      </c>
      <c r="AC16" s="187">
        <f t="shared" si="15"/>
        <v>11243.823529411764</v>
      </c>
      <c r="AD16" s="187">
        <f t="shared" si="15"/>
        <v>16812.647058823528</v>
      </c>
      <c r="AE16" s="187">
        <f>AE41+AE65+AE89+AE113+AE137+AE161</f>
        <v>0</v>
      </c>
      <c r="AF16" s="187">
        <f t="shared" ref="AF16" si="16">AF41+AF65+AF89+AF113+AF137+AF161</f>
        <v>16812.647058823528</v>
      </c>
      <c r="AG16" s="203">
        <f t="shared" si="5"/>
        <v>0.49527845353004263</v>
      </c>
      <c r="AH16" s="188">
        <f t="shared" ref="AH16:AL16" si="17">AH41+AH65+AH89+AH113+AH137+AH161</f>
        <v>1360</v>
      </c>
      <c r="AI16" s="187">
        <f t="shared" si="17"/>
        <v>16812.647058823528</v>
      </c>
      <c r="AJ16" s="187">
        <f t="shared" si="17"/>
        <v>18172.647058823528</v>
      </c>
      <c r="AK16" s="187">
        <f t="shared" si="17"/>
        <v>0</v>
      </c>
      <c r="AL16" s="187">
        <f t="shared" si="17"/>
        <v>18172.647058823528</v>
      </c>
      <c r="AM16" s="203">
        <f t="shared" ref="AM16:AM31" si="18">IFERROR((AL16-AF16)/AF16,0)</f>
        <v>8.0891485751272682E-2</v>
      </c>
      <c r="AN16" s="188">
        <f t="shared" ref="AN16:AR16" si="19">AN41+AN65+AN89+AN113+AN137+AN161</f>
        <v>280</v>
      </c>
      <c r="AO16" s="187">
        <f t="shared" si="19"/>
        <v>18172.647058823528</v>
      </c>
      <c r="AP16" s="187">
        <f t="shared" si="19"/>
        <v>18452.647058823528</v>
      </c>
      <c r="AQ16" s="187">
        <f t="shared" si="19"/>
        <v>0</v>
      </c>
      <c r="AR16" s="187">
        <f t="shared" si="19"/>
        <v>18452.647058823528</v>
      </c>
      <c r="AS16" s="203">
        <f t="shared" ref="AS16:AS18" si="20">IFERROR((AR16-AL16)/AL16,0)</f>
        <v>1.5407771861394793E-2</v>
      </c>
      <c r="AT16" s="198">
        <f t="shared" ref="AT16:AT18" si="21">SUM(T16,Z16,AF16,AL16,AR16)</f>
        <v>69836.764705882335</v>
      </c>
      <c r="AU16" s="199">
        <f t="shared" si="8"/>
        <v>0.37549020276773781</v>
      </c>
    </row>
    <row r="17" spans="2:47" outlineLevel="1" x14ac:dyDescent="0.25">
      <c r="B17" s="52" t="s">
        <v>285</v>
      </c>
      <c r="C17" s="64" t="s">
        <v>26</v>
      </c>
      <c r="D17" s="226">
        <f t="shared" si="0"/>
        <v>0</v>
      </c>
      <c r="E17" s="188">
        <f t="shared" si="0"/>
        <v>0</v>
      </c>
      <c r="F17" s="203">
        <f t="shared" si="1"/>
        <v>0</v>
      </c>
      <c r="G17" s="188">
        <f>G42+G66+G90+G114+G138+G162</f>
        <v>0</v>
      </c>
      <c r="H17" s="203">
        <f t="shared" si="9"/>
        <v>0</v>
      </c>
      <c r="I17" s="188">
        <f>I42+I66+I90+I114+I138+I162</f>
        <v>0</v>
      </c>
      <c r="J17" s="203">
        <f t="shared" si="9"/>
        <v>0</v>
      </c>
      <c r="K17" s="188">
        <f>K42+K66+K90+K114+K138+K162</f>
        <v>50</v>
      </c>
      <c r="L17" s="157"/>
      <c r="M17" s="188">
        <f>M42+M66+M90+M114+M138+M162</f>
        <v>0</v>
      </c>
      <c r="N17" s="203">
        <f t="shared" si="2"/>
        <v>0</v>
      </c>
      <c r="O17" s="198">
        <f t="shared" si="3"/>
        <v>0</v>
      </c>
      <c r="P17" s="199">
        <f t="shared" si="4"/>
        <v>0</v>
      </c>
      <c r="R17" s="188">
        <f t="shared" ref="R17" si="22">R42+R66+R90+R114+R138+R162</f>
        <v>5100</v>
      </c>
      <c r="S17" s="187">
        <f>S42+S66+S90+S114+S138+S162</f>
        <v>0</v>
      </c>
      <c r="T17" s="187">
        <f t="shared" ref="T17" si="23">T42+T66+T90+T114+T138+T162</f>
        <v>5100</v>
      </c>
      <c r="U17" s="228"/>
      <c r="V17" s="188">
        <f t="shared" ref="V17:X17" si="24">V42+V66+V90+V114+V138+V162</f>
        <v>6102.7777777777774</v>
      </c>
      <c r="W17" s="187">
        <f t="shared" si="24"/>
        <v>5100</v>
      </c>
      <c r="X17" s="187">
        <f t="shared" si="24"/>
        <v>11202.777777777777</v>
      </c>
      <c r="Y17" s="187">
        <f>Y42+Y66+Y90+Y114+Y138+Y162</f>
        <v>0</v>
      </c>
      <c r="Z17" s="187">
        <f t="shared" ref="Z17" si="25">Z42+Z66+Z90+Z114+Z138+Z162</f>
        <v>11202.777777777777</v>
      </c>
      <c r="AA17" s="203">
        <f t="shared" si="14"/>
        <v>1.1966230936819171</v>
      </c>
      <c r="AB17" s="188">
        <f t="shared" ref="AB17:AD17" si="26">AB42+AB66+AB90+AB114+AB138+AB162</f>
        <v>4863.0555555555557</v>
      </c>
      <c r="AC17" s="187">
        <f t="shared" si="26"/>
        <v>11202.777777777777</v>
      </c>
      <c r="AD17" s="187">
        <f t="shared" si="26"/>
        <v>16065.833333333334</v>
      </c>
      <c r="AE17" s="187">
        <f>AE42+AE66+AE90+AE114+AE138+AE162</f>
        <v>0</v>
      </c>
      <c r="AF17" s="187">
        <f t="shared" ref="AF17" si="27">AF42+AF66+AF90+AF114+AF138+AF162</f>
        <v>16065.833333333334</v>
      </c>
      <c r="AG17" s="203">
        <f t="shared" si="5"/>
        <v>0.43409372675427732</v>
      </c>
      <c r="AH17" s="188">
        <f t="shared" ref="AH17:AL17" si="28">AH42+AH66+AH90+AH114+AH138+AH162</f>
        <v>1405</v>
      </c>
      <c r="AI17" s="187">
        <f t="shared" si="28"/>
        <v>16065.833333333334</v>
      </c>
      <c r="AJ17" s="187">
        <f t="shared" si="28"/>
        <v>17470.833333333332</v>
      </c>
      <c r="AK17" s="187">
        <f t="shared" si="28"/>
        <v>0</v>
      </c>
      <c r="AL17" s="187">
        <f t="shared" si="28"/>
        <v>17470.833333333332</v>
      </c>
      <c r="AM17" s="203">
        <f t="shared" si="18"/>
        <v>8.7452668706883022E-2</v>
      </c>
      <c r="AN17" s="188">
        <f t="shared" ref="AN17:AR17" si="29">AN42+AN66+AN90+AN114+AN138+AN162</f>
        <v>740</v>
      </c>
      <c r="AO17" s="187">
        <f t="shared" si="29"/>
        <v>17470.833333333332</v>
      </c>
      <c r="AP17" s="187">
        <f t="shared" si="29"/>
        <v>18210.833333333332</v>
      </c>
      <c r="AQ17" s="187">
        <f t="shared" si="29"/>
        <v>0</v>
      </c>
      <c r="AR17" s="187">
        <f t="shared" si="29"/>
        <v>18210.833333333332</v>
      </c>
      <c r="AS17" s="203">
        <f t="shared" si="20"/>
        <v>4.2356308132601959E-2</v>
      </c>
      <c r="AT17" s="198">
        <f t="shared" si="21"/>
        <v>68050.277777777766</v>
      </c>
      <c r="AU17" s="199">
        <f t="shared" si="8"/>
        <v>0.37464295573292583</v>
      </c>
    </row>
    <row r="18" spans="2:47" ht="15" customHeight="1" outlineLevel="1" x14ac:dyDescent="0.25">
      <c r="B18" s="52" t="s">
        <v>286</v>
      </c>
      <c r="C18" s="65" t="s">
        <v>26</v>
      </c>
      <c r="D18" s="227">
        <f t="shared" si="0"/>
        <v>0</v>
      </c>
      <c r="E18" s="194">
        <f t="shared" si="0"/>
        <v>0</v>
      </c>
      <c r="F18" s="205">
        <f t="shared" si="1"/>
        <v>0</v>
      </c>
      <c r="G18" s="194">
        <f>G43+G67+G91+G115+G139+G163</f>
        <v>0</v>
      </c>
      <c r="H18" s="205">
        <f t="shared" si="9"/>
        <v>0</v>
      </c>
      <c r="I18" s="194">
        <f>I43+I67+I91+I115+I139+I163</f>
        <v>0</v>
      </c>
      <c r="J18" s="205">
        <f t="shared" si="9"/>
        <v>0</v>
      </c>
      <c r="K18" s="194">
        <f>K43+K67+K91+K115+K139+K163</f>
        <v>0</v>
      </c>
      <c r="L18" s="164"/>
      <c r="M18" s="194">
        <f>M43+M67+M91+M115+M139+M163</f>
        <v>0</v>
      </c>
      <c r="N18" s="205">
        <f t="shared" si="2"/>
        <v>0</v>
      </c>
      <c r="O18" s="200">
        <f t="shared" si="3"/>
        <v>0</v>
      </c>
      <c r="P18" s="201">
        <f t="shared" si="4"/>
        <v>0</v>
      </c>
      <c r="R18" s="188">
        <f t="shared" ref="R18" si="30">R43+R67+R91+R115+R139+R163</f>
        <v>5272</v>
      </c>
      <c r="S18" s="187">
        <f>S43+S67+S91+S115+S139+S163</f>
        <v>0</v>
      </c>
      <c r="T18" s="187">
        <f t="shared" ref="T18" si="31">T43+T67+T91+T115+T139+T163</f>
        <v>5272</v>
      </c>
      <c r="U18" s="228"/>
      <c r="V18" s="188">
        <f t="shared" ref="V18:X18" si="32">V43+V67+V91+V115+V139+V163</f>
        <v>70352</v>
      </c>
      <c r="W18" s="187">
        <f t="shared" si="32"/>
        <v>5272</v>
      </c>
      <c r="X18" s="187">
        <f t="shared" si="32"/>
        <v>75624</v>
      </c>
      <c r="Y18" s="196">
        <f>Y43+Y67+Y91+Y115+Y139+Y163</f>
        <v>0</v>
      </c>
      <c r="Z18" s="187">
        <f t="shared" ref="Z18" si="33">Z43+Z67+Z91+Z115+Z139+Z163</f>
        <v>75624</v>
      </c>
      <c r="AA18" s="205">
        <f t="shared" si="14"/>
        <v>13.344461305007588</v>
      </c>
      <c r="AB18" s="188">
        <f t="shared" ref="AB18:AD18" si="34">AB43+AB67+AB91+AB115+AB139+AB163</f>
        <v>56539</v>
      </c>
      <c r="AC18" s="187">
        <f t="shared" si="34"/>
        <v>75624</v>
      </c>
      <c r="AD18" s="187">
        <f t="shared" si="34"/>
        <v>132163</v>
      </c>
      <c r="AE18" s="196">
        <f>AE43+AE67+AE91+AE115+AE139+AE163</f>
        <v>0</v>
      </c>
      <c r="AF18" s="187">
        <f t="shared" ref="AF18" si="35">AF43+AF67+AF91+AF115+AF139+AF163</f>
        <v>132163</v>
      </c>
      <c r="AG18" s="203">
        <f t="shared" si="5"/>
        <v>0.74763302655241726</v>
      </c>
      <c r="AH18" s="188">
        <f t="shared" ref="AH18:AL18" si="36">AH43+AH67+AH91+AH115+AH139+AH163</f>
        <v>66159.5</v>
      </c>
      <c r="AI18" s="187">
        <f t="shared" si="36"/>
        <v>132163</v>
      </c>
      <c r="AJ18" s="187">
        <f t="shared" si="36"/>
        <v>198322.5</v>
      </c>
      <c r="AK18" s="187">
        <f t="shared" si="36"/>
        <v>0</v>
      </c>
      <c r="AL18" s="187">
        <f t="shared" si="36"/>
        <v>198322.5</v>
      </c>
      <c r="AM18" s="205">
        <f t="shared" si="18"/>
        <v>0.50059018030765046</v>
      </c>
      <c r="AN18" s="188">
        <f t="shared" ref="AN18:AR18" si="37">AN43+AN67+AN91+AN115+AN139+AN163</f>
        <v>29425.5</v>
      </c>
      <c r="AO18" s="187">
        <f t="shared" si="37"/>
        <v>198203</v>
      </c>
      <c r="AP18" s="187">
        <f t="shared" si="37"/>
        <v>227628.5</v>
      </c>
      <c r="AQ18" s="187">
        <f t="shared" si="37"/>
        <v>0</v>
      </c>
      <c r="AR18" s="187">
        <f t="shared" si="37"/>
        <v>227628.5</v>
      </c>
      <c r="AS18" s="205">
        <f t="shared" si="20"/>
        <v>0.14776941597650292</v>
      </c>
      <c r="AT18" s="200">
        <f t="shared" si="21"/>
        <v>639010</v>
      </c>
      <c r="AU18" s="199">
        <f t="shared" si="8"/>
        <v>1.5633789210190101</v>
      </c>
    </row>
    <row r="19" spans="2:47" outlineLevel="1" x14ac:dyDescent="0.25">
      <c r="B19" s="52" t="s">
        <v>287</v>
      </c>
      <c r="C19" s="64" t="s">
        <v>26</v>
      </c>
      <c r="D19" s="226">
        <f>D56+D79+D103+D127+D151+D175</f>
        <v>0</v>
      </c>
      <c r="E19" s="188">
        <f>E56+E79+E103+E127+E151+E175</f>
        <v>0</v>
      </c>
      <c r="F19" s="203">
        <f t="shared" ref="F19:F22" si="38">IFERROR((E19-D19)/D19,0)</f>
        <v>0</v>
      </c>
      <c r="G19" s="188">
        <f>G56+G79+G103+G127+G151+G175</f>
        <v>0</v>
      </c>
      <c r="H19" s="203">
        <f t="shared" ref="H19:H22" si="39">IFERROR((G19-E19)/E19,0)</f>
        <v>0</v>
      </c>
      <c r="I19" s="188">
        <f>I56+I79+I103+I127+I151+I175</f>
        <v>41</v>
      </c>
      <c r="J19" s="203">
        <f t="shared" ref="J19:J22" si="40">IFERROR((I19-G19)/G19,0)</f>
        <v>0</v>
      </c>
      <c r="K19" s="188">
        <f>K56+K79+K103+K127+K151+K175</f>
        <v>840</v>
      </c>
      <c r="L19" s="157"/>
      <c r="M19" s="188">
        <f>M56+M79+M103+M127+M151+M175</f>
        <v>0</v>
      </c>
      <c r="N19" s="203">
        <f t="shared" ref="N19:N22" si="41">IFERROR((M19-I19)/I19,0)</f>
        <v>-1</v>
      </c>
      <c r="O19" s="198">
        <f t="shared" ref="O19:O22" si="42">D19+E19+G19+I19+M19</f>
        <v>41</v>
      </c>
      <c r="P19" s="199">
        <f t="shared" ref="P19:P22" si="43">IFERROR((M19/D19)^(1/4)-1,0)</f>
        <v>0</v>
      </c>
      <c r="R19" s="188">
        <f t="shared" ref="R19" si="44">R44+R68+R92+R116+R140+R164</f>
        <v>0</v>
      </c>
      <c r="S19" s="187">
        <f>S56+S79+S103+S127+S151+S175</f>
        <v>0</v>
      </c>
      <c r="T19" s="187">
        <f t="shared" ref="T19" si="45">T44+T68+T92+T116+T140+T164</f>
        <v>0</v>
      </c>
      <c r="U19" s="228"/>
      <c r="V19" s="188">
        <f t="shared" ref="V19:X19" si="46">V44+V68+V92+V116+V140+V164</f>
        <v>108300</v>
      </c>
      <c r="W19" s="187">
        <f t="shared" si="46"/>
        <v>0</v>
      </c>
      <c r="X19" s="187">
        <f t="shared" si="46"/>
        <v>108300</v>
      </c>
      <c r="Y19" s="187">
        <f>Y56+Y79+Y103+Y127+Y151+Y175</f>
        <v>0</v>
      </c>
      <c r="Z19" s="187">
        <f t="shared" ref="Z19" si="47">Z44+Z68+Z92+Z116+Z140+Z164</f>
        <v>108300</v>
      </c>
      <c r="AA19" s="203">
        <f t="shared" ref="AA19:AA22" si="48">IFERROR((Z19-T19)/T19,0)</f>
        <v>0</v>
      </c>
      <c r="AB19" s="188">
        <f t="shared" ref="AB19:AD19" si="49">AB44+AB68+AB92+AB116+AB140+AB164</f>
        <v>56505</v>
      </c>
      <c r="AC19" s="187">
        <f t="shared" si="49"/>
        <v>108300</v>
      </c>
      <c r="AD19" s="187">
        <f t="shared" si="49"/>
        <v>164805</v>
      </c>
      <c r="AE19" s="187">
        <f>AE56+AE79+AE103+AE127+AE151+AE175</f>
        <v>0</v>
      </c>
      <c r="AF19" s="187">
        <f t="shared" ref="AF19" si="50">AF44+AF68+AF92+AF116+AF140+AF164</f>
        <v>164805</v>
      </c>
      <c r="AG19" s="203">
        <f t="shared" ref="AG19:AG22" si="51">IFERROR((AF19-Z19)/Z19,0)</f>
        <v>0.52174515235457064</v>
      </c>
      <c r="AH19" s="188">
        <f t="shared" ref="AH19:AL19" si="52">AH44+AH68+AH92+AH116+AH140+AH164</f>
        <v>34090</v>
      </c>
      <c r="AI19" s="187">
        <f t="shared" si="52"/>
        <v>164805</v>
      </c>
      <c r="AJ19" s="187">
        <f t="shared" si="52"/>
        <v>198895</v>
      </c>
      <c r="AK19" s="187">
        <f t="shared" si="52"/>
        <v>0</v>
      </c>
      <c r="AL19" s="187">
        <f t="shared" si="52"/>
        <v>198895</v>
      </c>
      <c r="AM19" s="203">
        <f t="shared" ref="AM19:AM22" si="53">IFERROR((AL19-AF19)/AF19,0)</f>
        <v>0.20685052031188375</v>
      </c>
      <c r="AN19" s="188">
        <f t="shared" ref="AN19:AR19" si="54">AN44+AN68+AN92+AN116+AN140+AN164</f>
        <v>27150</v>
      </c>
      <c r="AO19" s="187">
        <f t="shared" si="54"/>
        <v>198775</v>
      </c>
      <c r="AP19" s="187">
        <f t="shared" si="54"/>
        <v>225925</v>
      </c>
      <c r="AQ19" s="187">
        <f t="shared" si="54"/>
        <v>0</v>
      </c>
      <c r="AR19" s="187">
        <f t="shared" si="54"/>
        <v>225925</v>
      </c>
      <c r="AS19" s="203">
        <f t="shared" ref="AS19:AS22" si="55">IFERROR((AR19-AL19)/AL19,0)</f>
        <v>0.13590085220845169</v>
      </c>
      <c r="AT19" s="198">
        <f t="shared" ref="AT19:AT22" si="56">SUM(T19,Z19,AF19,AL19,AR19)</f>
        <v>697925</v>
      </c>
      <c r="AU19" s="199">
        <f t="shared" ref="AU19:AU22" si="57">IFERROR((AR19/T19)^(1/4)-1,0)</f>
        <v>0</v>
      </c>
    </row>
    <row r="20" spans="2:47" outlineLevel="1" x14ac:dyDescent="0.25">
      <c r="B20" s="52" t="s">
        <v>288</v>
      </c>
      <c r="C20" s="64" t="s">
        <v>26</v>
      </c>
      <c r="D20" s="226">
        <f>D57+D81+D105+D129+D153+D177</f>
        <v>0</v>
      </c>
      <c r="E20" s="188">
        <f>E57+E81+E105+E129+E153+E177</f>
        <v>0</v>
      </c>
      <c r="F20" s="203">
        <f t="shared" si="38"/>
        <v>0</v>
      </c>
      <c r="G20" s="188">
        <f>G57+G81+G105+G129+G153+G177</f>
        <v>0</v>
      </c>
      <c r="H20" s="203">
        <f t="shared" si="39"/>
        <v>0</v>
      </c>
      <c r="I20" s="188">
        <f>I57+I81+I105+I129+I153+I177</f>
        <v>0</v>
      </c>
      <c r="J20" s="203">
        <f t="shared" si="40"/>
        <v>0</v>
      </c>
      <c r="K20" s="188">
        <f>K57+K81+K105+K129+K153+K177</f>
        <v>0</v>
      </c>
      <c r="L20" s="157"/>
      <c r="M20" s="188">
        <f>M57+M81+M105+M129+M153+M177</f>
        <v>0</v>
      </c>
      <c r="N20" s="203">
        <f t="shared" si="41"/>
        <v>0</v>
      </c>
      <c r="O20" s="198">
        <f t="shared" si="42"/>
        <v>0</v>
      </c>
      <c r="P20" s="199">
        <f t="shared" si="43"/>
        <v>0</v>
      </c>
      <c r="R20" s="188">
        <f t="shared" ref="R20" si="58">R45+R69+R93+R117+R141+R165</f>
        <v>8746</v>
      </c>
      <c r="S20" s="187">
        <f>S57+S81+S105+S129+S153+S177</f>
        <v>0</v>
      </c>
      <c r="T20" s="187">
        <f t="shared" ref="T20" si="59">T45+T69+T93+T117+T141+T165</f>
        <v>8746</v>
      </c>
      <c r="U20" s="228"/>
      <c r="V20" s="188">
        <f t="shared" ref="V20:X20" si="60">V45+V69+V93+V117+V141+V165</f>
        <v>47455</v>
      </c>
      <c r="W20" s="187">
        <f t="shared" si="60"/>
        <v>8746</v>
      </c>
      <c r="X20" s="187">
        <f t="shared" si="60"/>
        <v>56201</v>
      </c>
      <c r="Y20" s="187">
        <f>Y57+Y81+Y105+Y129+Y153+Y177</f>
        <v>0</v>
      </c>
      <c r="Z20" s="187">
        <f t="shared" ref="Z20" si="61">Z45+Z69+Z93+Z117+Z141+Z165</f>
        <v>56201</v>
      </c>
      <c r="AA20" s="203">
        <f t="shared" si="48"/>
        <v>5.42590898696547</v>
      </c>
      <c r="AB20" s="188">
        <f t="shared" ref="AB20:AD20" si="62">AB45+AB69+AB93+AB117+AB141+AB165</f>
        <v>44635</v>
      </c>
      <c r="AC20" s="187">
        <f t="shared" si="62"/>
        <v>56201</v>
      </c>
      <c r="AD20" s="187">
        <f t="shared" si="62"/>
        <v>100836</v>
      </c>
      <c r="AE20" s="187">
        <f>AE57+AE81+AE105+AE129+AE153+AE177</f>
        <v>0</v>
      </c>
      <c r="AF20" s="187">
        <f t="shared" ref="AF20" si="63">AF45+AF69+AF93+AF117+AF141+AF165</f>
        <v>100836</v>
      </c>
      <c r="AG20" s="203">
        <f t="shared" si="51"/>
        <v>0.79420295012544262</v>
      </c>
      <c r="AH20" s="188">
        <f t="shared" ref="AH20:AL20" si="64">AH45+AH69+AH93+AH117+AH141+AH165</f>
        <v>21075</v>
      </c>
      <c r="AI20" s="187">
        <f t="shared" si="64"/>
        <v>100836</v>
      </c>
      <c r="AJ20" s="187">
        <f t="shared" si="64"/>
        <v>121911</v>
      </c>
      <c r="AK20" s="187">
        <f t="shared" si="64"/>
        <v>0</v>
      </c>
      <c r="AL20" s="187">
        <f t="shared" si="64"/>
        <v>121911</v>
      </c>
      <c r="AM20" s="203">
        <f t="shared" si="53"/>
        <v>0.20900273711769607</v>
      </c>
      <c r="AN20" s="188">
        <f t="shared" ref="AN20:AR20" si="65">AN45+AN69+AN93+AN117+AN141+AN165</f>
        <v>550</v>
      </c>
      <c r="AO20" s="187">
        <f t="shared" si="65"/>
        <v>121911</v>
      </c>
      <c r="AP20" s="187">
        <f t="shared" si="65"/>
        <v>122461</v>
      </c>
      <c r="AQ20" s="187">
        <f t="shared" si="65"/>
        <v>0</v>
      </c>
      <c r="AR20" s="187">
        <f t="shared" si="65"/>
        <v>122461</v>
      </c>
      <c r="AS20" s="203">
        <f t="shared" si="55"/>
        <v>4.5114878887056948E-3</v>
      </c>
      <c r="AT20" s="198">
        <f t="shared" si="56"/>
        <v>410155</v>
      </c>
      <c r="AU20" s="199">
        <f t="shared" si="57"/>
        <v>0.93440355709594369</v>
      </c>
    </row>
    <row r="21" spans="2:47" ht="15" customHeight="1" outlineLevel="1" x14ac:dyDescent="0.25">
      <c r="B21" s="52" t="s">
        <v>289</v>
      </c>
      <c r="C21" s="65" t="s">
        <v>26</v>
      </c>
      <c r="D21" s="227">
        <f t="shared" ref="D21:E23" si="66">D57+D81+D105+D129+D153+D177</f>
        <v>0</v>
      </c>
      <c r="E21" s="194">
        <f t="shared" si="66"/>
        <v>0</v>
      </c>
      <c r="F21" s="205">
        <f t="shared" si="38"/>
        <v>0</v>
      </c>
      <c r="G21" s="194">
        <f>G57+G81+G105+G129+G153+G177</f>
        <v>0</v>
      </c>
      <c r="H21" s="205">
        <f t="shared" si="39"/>
        <v>0</v>
      </c>
      <c r="I21" s="194">
        <f>I57+I81+I105+I129+I153+I177</f>
        <v>0</v>
      </c>
      <c r="J21" s="205">
        <f t="shared" si="40"/>
        <v>0</v>
      </c>
      <c r="K21" s="194">
        <f>K57+K81+K105+K129+K153+K177</f>
        <v>0</v>
      </c>
      <c r="L21" s="164"/>
      <c r="M21" s="194">
        <f>M57+M81+M105+M129+M153+M177</f>
        <v>0</v>
      </c>
      <c r="N21" s="205">
        <f t="shared" si="41"/>
        <v>0</v>
      </c>
      <c r="O21" s="200">
        <f t="shared" si="42"/>
        <v>0</v>
      </c>
      <c r="P21" s="201">
        <f t="shared" si="43"/>
        <v>0</v>
      </c>
      <c r="R21" s="188">
        <f t="shared" ref="R21" si="67">R46+R70+R94+R118+R142+R166</f>
        <v>12245</v>
      </c>
      <c r="S21" s="187">
        <f>S57+S81+S105+S129+S153+S177</f>
        <v>0</v>
      </c>
      <c r="T21" s="187">
        <f t="shared" ref="T21" si="68">T46+T70+T94+T118+T142+T166</f>
        <v>12245</v>
      </c>
      <c r="U21" s="228"/>
      <c r="V21" s="188">
        <f t="shared" ref="V21:X21" si="69">V46+V70+V94+V118+V142+V166</f>
        <v>80499</v>
      </c>
      <c r="W21" s="187">
        <f t="shared" si="69"/>
        <v>12245</v>
      </c>
      <c r="X21" s="187">
        <f t="shared" si="69"/>
        <v>92744</v>
      </c>
      <c r="Y21" s="196">
        <f>Y57+Y81+Y105+Y129+Y153+Y177</f>
        <v>0</v>
      </c>
      <c r="Z21" s="187">
        <f t="shared" ref="Z21" si="70">Z46+Z70+Z94+Z118+Z142+Z166</f>
        <v>92744</v>
      </c>
      <c r="AA21" s="205">
        <f t="shared" si="48"/>
        <v>6.5740302164148634</v>
      </c>
      <c r="AB21" s="188">
        <f t="shared" ref="AB21:AD21" si="71">AB46+AB70+AB94+AB118+AB142+AB166</f>
        <v>62415</v>
      </c>
      <c r="AC21" s="187">
        <f t="shared" si="71"/>
        <v>92744</v>
      </c>
      <c r="AD21" s="187">
        <f t="shared" si="71"/>
        <v>155159</v>
      </c>
      <c r="AE21" s="196">
        <f>AE57+AE81+AE105+AE129+AE153+AE177</f>
        <v>0</v>
      </c>
      <c r="AF21" s="187">
        <f t="shared" ref="AF21" si="72">AF46+AF70+AF94+AF118+AF142+AF166</f>
        <v>155159</v>
      </c>
      <c r="AG21" s="203">
        <f t="shared" si="51"/>
        <v>0.67298154058483572</v>
      </c>
      <c r="AH21" s="188">
        <f t="shared" ref="AH21:AL21" si="73">AH46+AH70+AH94+AH118+AH142+AH166</f>
        <v>41660</v>
      </c>
      <c r="AI21" s="187">
        <f t="shared" si="73"/>
        <v>155159</v>
      </c>
      <c r="AJ21" s="187">
        <f t="shared" si="73"/>
        <v>196819</v>
      </c>
      <c r="AK21" s="187">
        <f t="shared" si="73"/>
        <v>0</v>
      </c>
      <c r="AL21" s="187">
        <f t="shared" si="73"/>
        <v>196819</v>
      </c>
      <c r="AM21" s="205">
        <f t="shared" si="53"/>
        <v>0.26849876578219761</v>
      </c>
      <c r="AN21" s="188">
        <f t="shared" ref="AN21:AR21" si="74">AN46+AN70+AN94+AN118+AN142+AN166</f>
        <v>30830</v>
      </c>
      <c r="AO21" s="187">
        <f t="shared" si="74"/>
        <v>196659</v>
      </c>
      <c r="AP21" s="187">
        <f t="shared" si="74"/>
        <v>227489</v>
      </c>
      <c r="AQ21" s="187">
        <f t="shared" si="74"/>
        <v>0</v>
      </c>
      <c r="AR21" s="187">
        <f t="shared" si="74"/>
        <v>227489</v>
      </c>
      <c r="AS21" s="205">
        <f t="shared" si="55"/>
        <v>0.15582845152144864</v>
      </c>
      <c r="AT21" s="200">
        <f t="shared" si="56"/>
        <v>684456</v>
      </c>
      <c r="AU21" s="199">
        <f t="shared" si="57"/>
        <v>1.0761102042476192</v>
      </c>
    </row>
    <row r="22" spans="2:47" ht="15" customHeight="1" outlineLevel="1" x14ac:dyDescent="0.25">
      <c r="B22" s="52" t="s">
        <v>290</v>
      </c>
      <c r="C22" s="65" t="s">
        <v>26</v>
      </c>
      <c r="D22" s="227">
        <f t="shared" si="66"/>
        <v>0</v>
      </c>
      <c r="E22" s="194">
        <f t="shared" si="66"/>
        <v>0</v>
      </c>
      <c r="F22" s="205">
        <f t="shared" si="38"/>
        <v>0</v>
      </c>
      <c r="G22" s="194">
        <f>G58+G82+G106+G130+G154+G178</f>
        <v>0</v>
      </c>
      <c r="H22" s="205">
        <f t="shared" si="39"/>
        <v>0</v>
      </c>
      <c r="I22" s="194">
        <f>I58+I82+I106+I130+I154+I178</f>
        <v>0</v>
      </c>
      <c r="J22" s="205">
        <f t="shared" si="40"/>
        <v>0</v>
      </c>
      <c r="K22" s="194">
        <f>K58+K82+K106+K130+K154+K178</f>
        <v>0</v>
      </c>
      <c r="L22" s="164"/>
      <c r="M22" s="194">
        <f>M58+M82+M106+M130+M154+M178</f>
        <v>0</v>
      </c>
      <c r="N22" s="205">
        <f t="shared" si="41"/>
        <v>0</v>
      </c>
      <c r="O22" s="200">
        <f t="shared" si="42"/>
        <v>0</v>
      </c>
      <c r="P22" s="201">
        <f t="shared" si="43"/>
        <v>0</v>
      </c>
      <c r="R22" s="188">
        <f t="shared" ref="R22" si="75">R47+R71+R95+R119+R143+R167</f>
        <v>11444</v>
      </c>
      <c r="S22" s="187">
        <f>S58+S82+S106+S130+S154+S178</f>
        <v>0</v>
      </c>
      <c r="T22" s="187">
        <f t="shared" ref="T22" si="76">T47+T71+T95+T119+T143+T167</f>
        <v>11444</v>
      </c>
      <c r="U22" s="228"/>
      <c r="V22" s="188">
        <f>V47+V71+V95+V119+V143+V167</f>
        <v>96280</v>
      </c>
      <c r="W22" s="187">
        <f>W47+W71+W95+W119+W143+W167</f>
        <v>11444</v>
      </c>
      <c r="X22" s="187">
        <f>X47+X71+X95+X119+X143+X167</f>
        <v>107724</v>
      </c>
      <c r="Y22" s="196">
        <f>Y58+Y82+Y106+Y130+Y154+Y178</f>
        <v>0</v>
      </c>
      <c r="Z22" s="187">
        <f t="shared" ref="Z22" si="77">Z47+Z71+Z95+Z119+Z143+Z167</f>
        <v>107724</v>
      </c>
      <c r="AA22" s="205">
        <f t="shared" si="48"/>
        <v>8.4131422579517654</v>
      </c>
      <c r="AB22" s="188">
        <f t="shared" ref="AB22:AD22" si="78">AB47+AB71+AB95+AB119+AB143+AB167</f>
        <v>85820</v>
      </c>
      <c r="AC22" s="187">
        <f t="shared" si="78"/>
        <v>107724</v>
      </c>
      <c r="AD22" s="187">
        <f t="shared" si="78"/>
        <v>193544</v>
      </c>
      <c r="AE22" s="196">
        <f>AE58+AE82+AE106+AE130+AE154+AE178</f>
        <v>0</v>
      </c>
      <c r="AF22" s="187">
        <f t="shared" ref="AF22" si="79">AF47+AF71+AF95+AF119+AF143+AF167</f>
        <v>193544</v>
      </c>
      <c r="AG22" s="203">
        <f t="shared" si="51"/>
        <v>0.79666555270877426</v>
      </c>
      <c r="AH22" s="188">
        <f t="shared" ref="AH22:AL22" si="80">AH47+AH71+AH95+AH119+AH143+AH167</f>
        <v>81660</v>
      </c>
      <c r="AI22" s="187">
        <f t="shared" si="80"/>
        <v>193544</v>
      </c>
      <c r="AJ22" s="187">
        <f t="shared" si="80"/>
        <v>275204</v>
      </c>
      <c r="AK22" s="187">
        <f t="shared" si="80"/>
        <v>0</v>
      </c>
      <c r="AL22" s="187">
        <f t="shared" si="80"/>
        <v>275204</v>
      </c>
      <c r="AM22" s="205">
        <f t="shared" si="53"/>
        <v>0.42191956351010623</v>
      </c>
      <c r="AN22" s="188">
        <f t="shared" ref="AN22:AR22" si="81">AN47+AN71+AN95+AN119+AN143+AN167</f>
        <v>30830</v>
      </c>
      <c r="AO22" s="187">
        <f t="shared" si="81"/>
        <v>275044</v>
      </c>
      <c r="AP22" s="187">
        <f t="shared" si="81"/>
        <v>305874</v>
      </c>
      <c r="AQ22" s="187">
        <f t="shared" si="81"/>
        <v>0</v>
      </c>
      <c r="AR22" s="187">
        <f t="shared" si="81"/>
        <v>305874</v>
      </c>
      <c r="AS22" s="205">
        <f t="shared" si="55"/>
        <v>0.11144460109591431</v>
      </c>
      <c r="AT22" s="200">
        <f t="shared" si="56"/>
        <v>893790</v>
      </c>
      <c r="AU22" s="199">
        <f t="shared" si="57"/>
        <v>1.2737419701861823</v>
      </c>
    </row>
    <row r="23" spans="2:47" ht="15" customHeight="1" outlineLevel="1" x14ac:dyDescent="0.25">
      <c r="B23" s="52" t="s">
        <v>291</v>
      </c>
      <c r="C23" s="65" t="s">
        <v>26</v>
      </c>
      <c r="D23" s="227">
        <f t="shared" si="66"/>
        <v>0</v>
      </c>
      <c r="E23" s="194">
        <f t="shared" si="66"/>
        <v>0</v>
      </c>
      <c r="F23" s="205">
        <f t="shared" ref="F23:F29" si="82">IFERROR((E23-D23)/D23,0)</f>
        <v>0</v>
      </c>
      <c r="G23" s="194">
        <f>G59+G83+G107+G131+G155+G179</f>
        <v>0</v>
      </c>
      <c r="H23" s="205">
        <f t="shared" ref="H23:H29" si="83">IFERROR((G23-E23)/E23,0)</f>
        <v>0</v>
      </c>
      <c r="I23" s="194">
        <f>I59+I83+I107+I131+I155+I179</f>
        <v>0</v>
      </c>
      <c r="J23" s="205">
        <f t="shared" ref="J23:J29" si="84">IFERROR((I23-G23)/G23,0)</f>
        <v>0</v>
      </c>
      <c r="K23" s="194">
        <f>K59+K83+K107+K131+K155+K179</f>
        <v>0</v>
      </c>
      <c r="L23" s="164"/>
      <c r="M23" s="194">
        <f>M59+M83+M107+M131+M155+M179</f>
        <v>0</v>
      </c>
      <c r="N23" s="205">
        <f t="shared" ref="N23:N29" si="85">IFERROR((M23-I23)/I23,0)</f>
        <v>0</v>
      </c>
      <c r="O23" s="200">
        <f t="shared" ref="O23" si="86">D23+E23+G23+I23+M23</f>
        <v>0</v>
      </c>
      <c r="P23" s="201">
        <f t="shared" ref="P23:P29" si="87">IFERROR((M23/D23)^(1/4)-1,0)</f>
        <v>0</v>
      </c>
      <c r="R23" s="188">
        <f t="shared" ref="R23:R28" si="88">R48+R72+R96+R120+R144+R168</f>
        <v>22669</v>
      </c>
      <c r="S23" s="187">
        <f>S59+S83+S107+S131+S155+S179</f>
        <v>0</v>
      </c>
      <c r="T23" s="187">
        <f t="shared" ref="T23:T28" si="89">T48+T72+T96+T120+T144+T168</f>
        <v>22669</v>
      </c>
      <c r="U23" s="228"/>
      <c r="V23" s="188">
        <f t="shared" ref="V23:W23" si="90">V48+V72+V96+V120+V144+V168</f>
        <v>4285</v>
      </c>
      <c r="W23" s="187">
        <f t="shared" si="90"/>
        <v>22669</v>
      </c>
      <c r="X23" s="187">
        <f>X48+X72+X96+X120+X144+X168</f>
        <v>26954</v>
      </c>
      <c r="Y23" s="196">
        <f>Y59+Y83+Y107+Y131+Y155+Y179</f>
        <v>0</v>
      </c>
      <c r="Z23" s="187">
        <f t="shared" ref="Z23:Z28" si="91">Z48+Z72+Z96+Z120+Z144+Z168</f>
        <v>26954</v>
      </c>
      <c r="AA23" s="205">
        <f t="shared" ref="AA23:AA29" si="92">IFERROR((Z23-T23)/T23,0)</f>
        <v>0.18902465922625611</v>
      </c>
      <c r="AB23" s="188">
        <f t="shared" ref="AB23:AD23" si="93">AB48+AB72+AB96+AB120+AB144+AB168</f>
        <v>1125</v>
      </c>
      <c r="AC23" s="187">
        <f t="shared" si="93"/>
        <v>26954</v>
      </c>
      <c r="AD23" s="187">
        <f t="shared" si="93"/>
        <v>28079</v>
      </c>
      <c r="AE23" s="196">
        <f>AE59+AE83+AE107+AE131+AE155+AE179</f>
        <v>0</v>
      </c>
      <c r="AF23" s="187">
        <f t="shared" ref="AF23:AF28" si="94">AF48+AF72+AF96+AF120+AF144+AF168</f>
        <v>28079</v>
      </c>
      <c r="AG23" s="203">
        <f t="shared" ref="AG23:AG29" si="95">IFERROR((AF23-Z23)/Z23,0)</f>
        <v>4.1737775469318096E-2</v>
      </c>
      <c r="AH23" s="188">
        <f t="shared" ref="AH23:AL23" si="96">AH48+AH72+AH96+AH120+AH144+AH168</f>
        <v>750</v>
      </c>
      <c r="AI23" s="187">
        <f t="shared" si="96"/>
        <v>28079</v>
      </c>
      <c r="AJ23" s="187">
        <f t="shared" si="96"/>
        <v>28829</v>
      </c>
      <c r="AK23" s="187">
        <f t="shared" si="96"/>
        <v>0</v>
      </c>
      <c r="AL23" s="187">
        <f t="shared" si="96"/>
        <v>28829</v>
      </c>
      <c r="AM23" s="205">
        <f t="shared" ref="AM23:AM29" si="97">IFERROR((AL23-AF23)/AF23,0)</f>
        <v>2.6710352932796753E-2</v>
      </c>
      <c r="AN23" s="188">
        <f t="shared" ref="AN23:AR23" si="98">AN48+AN72+AN96+AN120+AN144+AN168</f>
        <v>500</v>
      </c>
      <c r="AO23" s="187">
        <f t="shared" si="98"/>
        <v>28829</v>
      </c>
      <c r="AP23" s="187">
        <f t="shared" si="98"/>
        <v>29329</v>
      </c>
      <c r="AQ23" s="187">
        <f t="shared" si="98"/>
        <v>0</v>
      </c>
      <c r="AR23" s="187">
        <f t="shared" si="98"/>
        <v>29329</v>
      </c>
      <c r="AS23" s="205">
        <f t="shared" ref="AS23:AS29" si="99">IFERROR((AR23-AL23)/AL23,0)</f>
        <v>1.7343647022095805E-2</v>
      </c>
      <c r="AT23" s="200">
        <f t="shared" ref="AT23:AT26" si="100">SUM(T23,Z23,AF23,AL23,AR23)</f>
        <v>135860</v>
      </c>
      <c r="AU23" s="199">
        <f t="shared" ref="AU23:AU29" si="101">IFERROR((AR23/T23)^(1/4)-1,0)</f>
        <v>6.6513171228660628E-2</v>
      </c>
    </row>
    <row r="24" spans="2:47" ht="15" customHeight="1" outlineLevel="1" x14ac:dyDescent="0.25">
      <c r="B24" s="52" t="s">
        <v>307</v>
      </c>
      <c r="C24" s="64" t="s">
        <v>26</v>
      </c>
      <c r="D24" s="227"/>
      <c r="E24" s="194"/>
      <c r="F24" s="205">
        <f t="shared" si="82"/>
        <v>0</v>
      </c>
      <c r="G24" s="194"/>
      <c r="H24" s="205">
        <f t="shared" si="83"/>
        <v>0</v>
      </c>
      <c r="I24" s="194"/>
      <c r="J24" s="205">
        <f t="shared" si="84"/>
        <v>0</v>
      </c>
      <c r="K24" s="194"/>
      <c r="L24" s="164"/>
      <c r="M24" s="194"/>
      <c r="N24" s="205">
        <f t="shared" si="85"/>
        <v>0</v>
      </c>
      <c r="O24" s="200"/>
      <c r="P24" s="201">
        <f t="shared" si="87"/>
        <v>0</v>
      </c>
      <c r="R24" s="188">
        <f t="shared" si="88"/>
        <v>1382</v>
      </c>
      <c r="S24" s="187">
        <f t="shared" ref="S24" si="102">S61+S85+S109+S133+S157+S181</f>
        <v>0</v>
      </c>
      <c r="T24" s="187">
        <f t="shared" si="89"/>
        <v>1382</v>
      </c>
      <c r="U24" s="228"/>
      <c r="V24" s="188">
        <f t="shared" ref="V24:X24" si="103">V49+V73+V97+V121+V145+V169</f>
        <v>1995</v>
      </c>
      <c r="W24" s="187">
        <f t="shared" si="103"/>
        <v>1382</v>
      </c>
      <c r="X24" s="187">
        <f t="shared" si="103"/>
        <v>3377</v>
      </c>
      <c r="Y24" s="187">
        <f t="shared" ref="Y24" si="104">Y61+Y85+Y109+Y133+Y157+Y181</f>
        <v>0</v>
      </c>
      <c r="Z24" s="187">
        <f t="shared" si="91"/>
        <v>3377</v>
      </c>
      <c r="AA24" s="203">
        <f t="shared" si="92"/>
        <v>1.4435600578871202</v>
      </c>
      <c r="AB24" s="188">
        <f t="shared" ref="AB24:AD24" si="105">AB49+AB73+AB97+AB121+AB145+AB169</f>
        <v>2180</v>
      </c>
      <c r="AC24" s="187">
        <f t="shared" si="105"/>
        <v>3377</v>
      </c>
      <c r="AD24" s="187">
        <f t="shared" si="105"/>
        <v>5557</v>
      </c>
      <c r="AE24" s="187">
        <f t="shared" ref="AE24" si="106">AE61+AE85+AE109+AE133+AE157+AE181</f>
        <v>0</v>
      </c>
      <c r="AF24" s="187">
        <f t="shared" si="94"/>
        <v>5557</v>
      </c>
      <c r="AG24" s="203">
        <f t="shared" si="95"/>
        <v>0.64554338169973347</v>
      </c>
      <c r="AH24" s="188">
        <f t="shared" ref="AH24:AL24" si="107">AH49+AH73+AH97+AH121+AH145+AH169</f>
        <v>1260</v>
      </c>
      <c r="AI24" s="187">
        <f t="shared" si="107"/>
        <v>5557</v>
      </c>
      <c r="AJ24" s="187">
        <f t="shared" si="107"/>
        <v>6817</v>
      </c>
      <c r="AK24" s="187">
        <f t="shared" si="107"/>
        <v>0</v>
      </c>
      <c r="AL24" s="187">
        <f t="shared" si="107"/>
        <v>6817</v>
      </c>
      <c r="AM24" s="203">
        <f t="shared" si="97"/>
        <v>0.22674104732769479</v>
      </c>
      <c r="AN24" s="188">
        <f t="shared" ref="AN24:AR24" si="108">AN49+AN73+AN97+AN121+AN145+AN169</f>
        <v>1000</v>
      </c>
      <c r="AO24" s="187">
        <f t="shared" si="108"/>
        <v>6757</v>
      </c>
      <c r="AP24" s="187">
        <f t="shared" si="108"/>
        <v>7757</v>
      </c>
      <c r="AQ24" s="187">
        <f t="shared" si="108"/>
        <v>0</v>
      </c>
      <c r="AR24" s="187">
        <f t="shared" si="108"/>
        <v>7757</v>
      </c>
      <c r="AS24" s="203">
        <f t="shared" si="99"/>
        <v>0.13789056769840105</v>
      </c>
      <c r="AT24" s="198">
        <f t="shared" si="100"/>
        <v>24890</v>
      </c>
      <c r="AU24" s="199">
        <f t="shared" si="101"/>
        <v>0.53920489945303252</v>
      </c>
    </row>
    <row r="25" spans="2:47" ht="15" customHeight="1" outlineLevel="1" x14ac:dyDescent="0.25">
      <c r="B25" s="52" t="s">
        <v>304</v>
      </c>
      <c r="C25" s="65" t="s">
        <v>26</v>
      </c>
      <c r="D25" s="227"/>
      <c r="E25" s="194"/>
      <c r="F25" s="205">
        <f t="shared" si="82"/>
        <v>0</v>
      </c>
      <c r="G25" s="194"/>
      <c r="H25" s="205">
        <f t="shared" si="83"/>
        <v>0</v>
      </c>
      <c r="I25" s="194"/>
      <c r="J25" s="205">
        <f t="shared" si="84"/>
        <v>0</v>
      </c>
      <c r="K25" s="194"/>
      <c r="L25" s="164"/>
      <c r="M25" s="194"/>
      <c r="N25" s="205">
        <f t="shared" si="85"/>
        <v>0</v>
      </c>
      <c r="O25" s="200"/>
      <c r="P25" s="201">
        <f t="shared" si="87"/>
        <v>0</v>
      </c>
      <c r="R25" s="188">
        <f t="shared" si="88"/>
        <v>1530</v>
      </c>
      <c r="S25" s="187">
        <f t="shared" ref="S25:S27" si="109">S61+S85+S109+S133+S157+S181</f>
        <v>0</v>
      </c>
      <c r="T25" s="187">
        <f t="shared" si="89"/>
        <v>1530</v>
      </c>
      <c r="U25" s="228"/>
      <c r="V25" s="188">
        <f t="shared" ref="V25:X25" si="110">V50+V74+V98+V122+V146+V170</f>
        <v>1995</v>
      </c>
      <c r="W25" s="187">
        <f t="shared" si="110"/>
        <v>1530</v>
      </c>
      <c r="X25" s="187">
        <f t="shared" si="110"/>
        <v>3525</v>
      </c>
      <c r="Y25" s="196">
        <f t="shared" ref="Y25:Y27" si="111">Y61+Y85+Y109+Y133+Y157+Y181</f>
        <v>0</v>
      </c>
      <c r="Z25" s="187">
        <f t="shared" si="91"/>
        <v>3525</v>
      </c>
      <c r="AA25" s="205">
        <f t="shared" si="92"/>
        <v>1.303921568627451</v>
      </c>
      <c r="AB25" s="188">
        <f t="shared" ref="AB25:AD25" si="112">AB50+AB74+AB98+AB122+AB146+AB170</f>
        <v>3120</v>
      </c>
      <c r="AC25" s="187">
        <f t="shared" si="112"/>
        <v>3525</v>
      </c>
      <c r="AD25" s="187">
        <f t="shared" si="112"/>
        <v>6645</v>
      </c>
      <c r="AE25" s="196">
        <f t="shared" ref="AE25:AE27" si="113">AE61+AE85+AE109+AE133+AE157+AE181</f>
        <v>0</v>
      </c>
      <c r="AF25" s="187">
        <f t="shared" si="94"/>
        <v>6645</v>
      </c>
      <c r="AG25" s="203">
        <f t="shared" si="95"/>
        <v>0.88510638297872335</v>
      </c>
      <c r="AH25" s="188">
        <f t="shared" ref="AH25:AL25" si="114">AH50+AH74+AH98+AH122+AH146+AH170</f>
        <v>1460</v>
      </c>
      <c r="AI25" s="187">
        <f t="shared" si="114"/>
        <v>6645</v>
      </c>
      <c r="AJ25" s="187">
        <f t="shared" si="114"/>
        <v>8105</v>
      </c>
      <c r="AK25" s="187">
        <f t="shared" si="114"/>
        <v>0</v>
      </c>
      <c r="AL25" s="187">
        <f t="shared" si="114"/>
        <v>8105</v>
      </c>
      <c r="AM25" s="205">
        <f t="shared" si="97"/>
        <v>0.21971407072987209</v>
      </c>
      <c r="AN25" s="188">
        <f t="shared" ref="AN25:AR25" si="115">AN50+AN74+AN98+AN122+AN146+AN170</f>
        <v>1000</v>
      </c>
      <c r="AO25" s="187">
        <f t="shared" si="115"/>
        <v>8045</v>
      </c>
      <c r="AP25" s="187">
        <f t="shared" si="115"/>
        <v>9045</v>
      </c>
      <c r="AQ25" s="187">
        <f t="shared" si="115"/>
        <v>0</v>
      </c>
      <c r="AR25" s="187">
        <f t="shared" si="115"/>
        <v>9045</v>
      </c>
      <c r="AS25" s="205">
        <f t="shared" si="99"/>
        <v>0.11597779148673658</v>
      </c>
      <c r="AT25" s="200">
        <f t="shared" si="100"/>
        <v>28850</v>
      </c>
      <c r="AU25" s="199">
        <f t="shared" si="101"/>
        <v>0.5592985861085249</v>
      </c>
    </row>
    <row r="26" spans="2:47" ht="15" customHeight="1" outlineLevel="1" x14ac:dyDescent="0.25">
      <c r="B26" s="52" t="s">
        <v>305</v>
      </c>
      <c r="C26" s="64" t="s">
        <v>26</v>
      </c>
      <c r="D26" s="227"/>
      <c r="E26" s="194"/>
      <c r="F26" s="205">
        <f t="shared" si="82"/>
        <v>0</v>
      </c>
      <c r="G26" s="194"/>
      <c r="H26" s="205">
        <f t="shared" si="83"/>
        <v>0</v>
      </c>
      <c r="I26" s="194"/>
      <c r="J26" s="205">
        <f t="shared" si="84"/>
        <v>0</v>
      </c>
      <c r="K26" s="194"/>
      <c r="L26" s="164"/>
      <c r="M26" s="194"/>
      <c r="N26" s="205">
        <f t="shared" si="85"/>
        <v>0</v>
      </c>
      <c r="O26" s="200"/>
      <c r="P26" s="201">
        <f t="shared" si="87"/>
        <v>0</v>
      </c>
      <c r="R26" s="188">
        <f t="shared" si="88"/>
        <v>1435</v>
      </c>
      <c r="S26" s="187"/>
      <c r="T26" s="187">
        <f t="shared" si="89"/>
        <v>1435</v>
      </c>
      <c r="U26" s="228"/>
      <c r="V26" s="188">
        <f t="shared" ref="V26:X26" si="116">V51+V75+V99+V123+V147+V171</f>
        <v>1995</v>
      </c>
      <c r="W26" s="187">
        <f t="shared" si="116"/>
        <v>1435</v>
      </c>
      <c r="X26" s="187">
        <f t="shared" si="116"/>
        <v>3430</v>
      </c>
      <c r="Y26" s="196"/>
      <c r="Z26" s="187">
        <f t="shared" si="91"/>
        <v>3430</v>
      </c>
      <c r="AA26" s="205">
        <f t="shared" si="92"/>
        <v>1.3902439024390243</v>
      </c>
      <c r="AB26" s="188">
        <f t="shared" ref="AB26:AD26" si="117">AB51+AB75+AB99+AB123+AB147+AB171</f>
        <v>2720</v>
      </c>
      <c r="AC26" s="187">
        <f t="shared" si="117"/>
        <v>3430</v>
      </c>
      <c r="AD26" s="187">
        <f t="shared" si="117"/>
        <v>6150</v>
      </c>
      <c r="AE26" s="196"/>
      <c r="AF26" s="187">
        <f t="shared" si="94"/>
        <v>6150</v>
      </c>
      <c r="AG26" s="203">
        <f t="shared" si="95"/>
        <v>0.79300291545189505</v>
      </c>
      <c r="AH26" s="188">
        <f t="shared" ref="AH26:AL26" si="118">AH51+AH75+AH99+AH123+AH147+AH171</f>
        <v>1260</v>
      </c>
      <c r="AI26" s="187">
        <f t="shared" si="118"/>
        <v>6150</v>
      </c>
      <c r="AJ26" s="187">
        <f t="shared" si="118"/>
        <v>7410</v>
      </c>
      <c r="AK26" s="187">
        <f t="shared" si="118"/>
        <v>0</v>
      </c>
      <c r="AL26" s="187">
        <f t="shared" si="118"/>
        <v>7410</v>
      </c>
      <c r="AM26" s="205">
        <f t="shared" si="97"/>
        <v>0.20487804878048779</v>
      </c>
      <c r="AN26" s="188">
        <f t="shared" ref="AN26:AR26" si="119">AN51+AN75+AN99+AN123+AN147+AN171</f>
        <v>1000</v>
      </c>
      <c r="AO26" s="187">
        <f t="shared" si="119"/>
        <v>7350</v>
      </c>
      <c r="AP26" s="187">
        <f t="shared" si="119"/>
        <v>8350</v>
      </c>
      <c r="AQ26" s="187">
        <f t="shared" si="119"/>
        <v>0</v>
      </c>
      <c r="AR26" s="187">
        <f t="shared" si="119"/>
        <v>8350</v>
      </c>
      <c r="AS26" s="205">
        <f t="shared" si="99"/>
        <v>0.12685560053981107</v>
      </c>
      <c r="AT26" s="200">
        <f t="shared" si="100"/>
        <v>26775</v>
      </c>
      <c r="AU26" s="199">
        <f t="shared" si="101"/>
        <v>0.55313298636003139</v>
      </c>
    </row>
    <row r="27" spans="2:47" ht="15" customHeight="1" outlineLevel="1" x14ac:dyDescent="0.25">
      <c r="B27" s="52" t="s">
        <v>306</v>
      </c>
      <c r="C27" s="64" t="s">
        <v>26</v>
      </c>
      <c r="D27" s="227"/>
      <c r="E27" s="194"/>
      <c r="F27" s="205">
        <f t="shared" si="82"/>
        <v>0</v>
      </c>
      <c r="G27" s="194"/>
      <c r="H27" s="205">
        <f t="shared" si="83"/>
        <v>0</v>
      </c>
      <c r="I27" s="194"/>
      <c r="J27" s="205">
        <f t="shared" si="84"/>
        <v>0</v>
      </c>
      <c r="K27" s="194"/>
      <c r="L27" s="164"/>
      <c r="M27" s="194"/>
      <c r="N27" s="205">
        <f t="shared" si="85"/>
        <v>0</v>
      </c>
      <c r="O27" s="200"/>
      <c r="P27" s="201">
        <f t="shared" si="87"/>
        <v>0</v>
      </c>
      <c r="R27" s="188">
        <f t="shared" si="88"/>
        <v>2940</v>
      </c>
      <c r="S27" s="187">
        <f t="shared" si="109"/>
        <v>0</v>
      </c>
      <c r="T27" s="187">
        <f t="shared" si="89"/>
        <v>2940</v>
      </c>
      <c r="U27" s="228"/>
      <c r="V27" s="188">
        <f t="shared" ref="V27:X27" si="120">V52+V76+V100+V124+V148+V172</f>
        <v>3905</v>
      </c>
      <c r="W27" s="187">
        <f t="shared" si="120"/>
        <v>2940</v>
      </c>
      <c r="X27" s="187">
        <f t="shared" si="120"/>
        <v>6845</v>
      </c>
      <c r="Y27" s="196">
        <f t="shared" si="111"/>
        <v>0</v>
      </c>
      <c r="Z27" s="187">
        <f t="shared" si="91"/>
        <v>6845</v>
      </c>
      <c r="AA27" s="205">
        <f t="shared" ref="AA27:AA28" si="121">IFERROR((Z27-T27)/T27,0)</f>
        <v>1.3282312925170068</v>
      </c>
      <c r="AB27" s="188">
        <f t="shared" ref="AB27:AD27" si="122">AB52+AB76+AB100+AB124+AB148+AB172</f>
        <v>4380</v>
      </c>
      <c r="AC27" s="187">
        <f t="shared" si="122"/>
        <v>6845</v>
      </c>
      <c r="AD27" s="187">
        <f t="shared" si="122"/>
        <v>11225</v>
      </c>
      <c r="AE27" s="196">
        <f t="shared" si="113"/>
        <v>0</v>
      </c>
      <c r="AF27" s="187">
        <f t="shared" si="94"/>
        <v>11225</v>
      </c>
      <c r="AG27" s="203">
        <f t="shared" ref="AG27:AG28" si="123">IFERROR((AF27-Z27)/Z27,0)</f>
        <v>0.63988312636961286</v>
      </c>
      <c r="AH27" s="188">
        <f t="shared" ref="AH27:AL27" si="124">AH52+AH76+AH100+AH124+AH148+AH172</f>
        <v>3980</v>
      </c>
      <c r="AI27" s="187">
        <f t="shared" si="124"/>
        <v>11225</v>
      </c>
      <c r="AJ27" s="187">
        <f t="shared" si="124"/>
        <v>15205</v>
      </c>
      <c r="AK27" s="187">
        <f t="shared" si="124"/>
        <v>0</v>
      </c>
      <c r="AL27" s="187">
        <f t="shared" si="124"/>
        <v>15205</v>
      </c>
      <c r="AM27" s="205">
        <f t="shared" ref="AM27:AM28" si="125">IFERROR((AL27-AF27)/AF27,0)</f>
        <v>0.35456570155902006</v>
      </c>
      <c r="AN27" s="188">
        <f t="shared" ref="AN27:AR27" si="126">AN52+AN76+AN100+AN124+AN148+AN172</f>
        <v>2850</v>
      </c>
      <c r="AO27" s="187">
        <f t="shared" si="126"/>
        <v>14905</v>
      </c>
      <c r="AP27" s="187">
        <f t="shared" si="126"/>
        <v>17755</v>
      </c>
      <c r="AQ27" s="187">
        <f t="shared" si="126"/>
        <v>0</v>
      </c>
      <c r="AR27" s="187">
        <f t="shared" si="126"/>
        <v>17755</v>
      </c>
      <c r="AS27" s="205">
        <f t="shared" ref="AS27:AS28" si="127">IFERROR((AR27-AL27)/AL27,0)</f>
        <v>0.16770799079250245</v>
      </c>
      <c r="AT27" s="200">
        <f t="shared" ref="AT27:AT28" si="128">SUM(T27,Z27,AF27,AL27,AR27)</f>
        <v>53970</v>
      </c>
      <c r="AU27" s="199">
        <f t="shared" ref="AU27:AU28" si="129">IFERROR((AR27/T27)^(1/4)-1,0)</f>
        <v>0.56762917161093074</v>
      </c>
    </row>
    <row r="28" spans="2:47" ht="15" customHeight="1" outlineLevel="1" x14ac:dyDescent="0.25">
      <c r="B28" s="52" t="s">
        <v>308</v>
      </c>
      <c r="C28" s="65" t="s">
        <v>26</v>
      </c>
      <c r="D28" s="227"/>
      <c r="E28" s="194"/>
      <c r="F28" s="205">
        <f t="shared" si="82"/>
        <v>0</v>
      </c>
      <c r="G28" s="194"/>
      <c r="H28" s="205">
        <f t="shared" si="83"/>
        <v>0</v>
      </c>
      <c r="I28" s="194"/>
      <c r="J28" s="205">
        <f t="shared" si="84"/>
        <v>0</v>
      </c>
      <c r="K28" s="194"/>
      <c r="L28" s="164"/>
      <c r="M28" s="194"/>
      <c r="N28" s="205">
        <f t="shared" si="85"/>
        <v>0</v>
      </c>
      <c r="O28" s="200"/>
      <c r="P28" s="201">
        <f t="shared" si="87"/>
        <v>0</v>
      </c>
      <c r="R28" s="188">
        <f t="shared" si="88"/>
        <v>2520</v>
      </c>
      <c r="S28" s="187">
        <f t="shared" ref="S28" si="130">S65+S89+S113+S137+S161+S185</f>
        <v>0</v>
      </c>
      <c r="T28" s="187">
        <f t="shared" si="89"/>
        <v>2520</v>
      </c>
      <c r="U28" s="228"/>
      <c r="V28" s="188">
        <f t="shared" ref="V28:X28" si="131">V53+V77+V101+V125+V149+V173</f>
        <v>4125</v>
      </c>
      <c r="W28" s="187">
        <f t="shared" si="131"/>
        <v>2520</v>
      </c>
      <c r="X28" s="187">
        <f t="shared" si="131"/>
        <v>6645</v>
      </c>
      <c r="Y28" s="187">
        <f t="shared" ref="Y28" si="132">Y65+Y89+Y113+Y137+Y161+Y185</f>
        <v>0</v>
      </c>
      <c r="Z28" s="187">
        <f t="shared" si="91"/>
        <v>6645</v>
      </c>
      <c r="AA28" s="203">
        <f t="shared" si="121"/>
        <v>1.6369047619047619</v>
      </c>
      <c r="AB28" s="188">
        <f t="shared" ref="AB28:AD28" si="133">AB53+AB77+AB101+AB125+AB149+AB173</f>
        <v>4445</v>
      </c>
      <c r="AC28" s="187">
        <f t="shared" si="133"/>
        <v>6645</v>
      </c>
      <c r="AD28" s="187">
        <f t="shared" si="133"/>
        <v>11090</v>
      </c>
      <c r="AE28" s="187">
        <f t="shared" ref="AE28" si="134">AE65+AE89+AE113+AE137+AE161+AE185</f>
        <v>0</v>
      </c>
      <c r="AF28" s="187">
        <f t="shared" si="94"/>
        <v>11090</v>
      </c>
      <c r="AG28" s="203">
        <f t="shared" si="123"/>
        <v>0.66892400300978183</v>
      </c>
      <c r="AH28" s="188">
        <f t="shared" ref="AH28:AL28" si="135">AH53+AH77+AH101+AH125+AH149+AH173</f>
        <v>3895</v>
      </c>
      <c r="AI28" s="187">
        <f t="shared" si="135"/>
        <v>11090</v>
      </c>
      <c r="AJ28" s="187">
        <f t="shared" si="135"/>
        <v>14985</v>
      </c>
      <c r="AK28" s="187">
        <f t="shared" si="135"/>
        <v>0</v>
      </c>
      <c r="AL28" s="187">
        <f t="shared" si="135"/>
        <v>14985</v>
      </c>
      <c r="AM28" s="203">
        <f t="shared" si="125"/>
        <v>0.35121731289449953</v>
      </c>
      <c r="AN28" s="188">
        <f t="shared" ref="AN28:AR28" si="136">AN53+AN77+AN101+AN125+AN149+AN173</f>
        <v>2850</v>
      </c>
      <c r="AO28" s="187">
        <f t="shared" si="136"/>
        <v>13965</v>
      </c>
      <c r="AP28" s="187">
        <f t="shared" si="136"/>
        <v>16815</v>
      </c>
      <c r="AQ28" s="187">
        <f t="shared" si="136"/>
        <v>0</v>
      </c>
      <c r="AR28" s="187">
        <f t="shared" si="136"/>
        <v>16815</v>
      </c>
      <c r="AS28" s="203">
        <f t="shared" si="127"/>
        <v>0.12212212212212212</v>
      </c>
      <c r="AT28" s="198">
        <f t="shared" si="128"/>
        <v>52055</v>
      </c>
      <c r="AU28" s="199">
        <f t="shared" si="129"/>
        <v>0.60721539126158675</v>
      </c>
    </row>
    <row r="29" spans="2:47" ht="15" customHeight="1" outlineLevel="1" x14ac:dyDescent="0.25">
      <c r="B29" s="52"/>
      <c r="C29" s="65"/>
      <c r="D29" s="227"/>
      <c r="E29" s="194"/>
      <c r="F29" s="205">
        <f t="shared" si="82"/>
        <v>0</v>
      </c>
      <c r="G29" s="194"/>
      <c r="H29" s="205">
        <f t="shared" si="83"/>
        <v>0</v>
      </c>
      <c r="I29" s="194"/>
      <c r="J29" s="205">
        <f t="shared" si="84"/>
        <v>0</v>
      </c>
      <c r="K29" s="194"/>
      <c r="L29" s="164"/>
      <c r="M29" s="194"/>
      <c r="N29" s="205">
        <f t="shared" si="85"/>
        <v>0</v>
      </c>
      <c r="O29" s="200"/>
      <c r="P29" s="201">
        <f t="shared" si="87"/>
        <v>0</v>
      </c>
      <c r="R29" s="188"/>
      <c r="S29" s="187"/>
      <c r="T29" s="187"/>
      <c r="U29" s="228"/>
      <c r="V29" s="188"/>
      <c r="W29" s="187"/>
      <c r="X29" s="187"/>
      <c r="Y29" s="196"/>
      <c r="Z29" s="187"/>
      <c r="AA29" s="205">
        <f t="shared" si="92"/>
        <v>0</v>
      </c>
      <c r="AB29" s="188"/>
      <c r="AC29" s="187"/>
      <c r="AD29" s="187"/>
      <c r="AE29" s="196"/>
      <c r="AF29" s="187"/>
      <c r="AG29" s="203">
        <f t="shared" si="95"/>
        <v>0</v>
      </c>
      <c r="AH29" s="188"/>
      <c r="AI29" s="187"/>
      <c r="AJ29" s="187"/>
      <c r="AK29" s="187"/>
      <c r="AL29" s="187"/>
      <c r="AM29" s="205">
        <f t="shared" si="97"/>
        <v>0</v>
      </c>
      <c r="AN29" s="188"/>
      <c r="AO29" s="187"/>
      <c r="AP29" s="187"/>
      <c r="AQ29" s="187"/>
      <c r="AR29" s="187"/>
      <c r="AS29" s="205">
        <f t="shared" si="99"/>
        <v>0</v>
      </c>
      <c r="AT29" s="200"/>
      <c r="AU29" s="199">
        <f t="shared" si="101"/>
        <v>0</v>
      </c>
    </row>
    <row r="30" spans="2:47" ht="15" customHeight="1" outlineLevel="1" x14ac:dyDescent="0.25">
      <c r="B30" s="349" t="s">
        <v>90</v>
      </c>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97"/>
    </row>
    <row r="31" spans="2:47" ht="15" customHeight="1" outlineLevel="1" x14ac:dyDescent="0.25">
      <c r="B31" s="50" t="s">
        <v>82</v>
      </c>
      <c r="C31" s="66" t="s">
        <v>26</v>
      </c>
      <c r="D31" s="230">
        <f>SUM(D15:D29)</f>
        <v>0</v>
      </c>
      <c r="E31" s="218">
        <f>SUM(E15:E29)</f>
        <v>0</v>
      </c>
      <c r="F31" s="229">
        <f>IFERROR((E31-D31)/D31,0)</f>
        <v>0</v>
      </c>
      <c r="G31" s="218">
        <f>SUM(G15:G29)</f>
        <v>0</v>
      </c>
      <c r="H31" s="229">
        <f t="shared" si="9"/>
        <v>0</v>
      </c>
      <c r="I31" s="218">
        <f>SUM(I15:I29)</f>
        <v>128</v>
      </c>
      <c r="J31" s="229">
        <f t="shared" si="9"/>
        <v>0</v>
      </c>
      <c r="K31" s="218">
        <f>SUM(K15:K29)</f>
        <v>1460</v>
      </c>
      <c r="L31" s="164"/>
      <c r="M31" s="218">
        <f>SUM(M15:M29)</f>
        <v>0</v>
      </c>
      <c r="N31" s="229">
        <f>IFERROR((M31-I31)/I31,0)</f>
        <v>-1</v>
      </c>
      <c r="O31" s="218">
        <f>SUM(O15:O29)</f>
        <v>128</v>
      </c>
      <c r="P31" s="219">
        <f>IFERROR((M31/D31)^(1/4)-1,0)</f>
        <v>0</v>
      </c>
      <c r="R31" s="218">
        <f>SUM(R15:R29)</f>
        <v>86373</v>
      </c>
      <c r="S31" s="187">
        <f>SUM(S15:S29)</f>
        <v>0</v>
      </c>
      <c r="T31" s="187">
        <f>SUM(T15:T29)</f>
        <v>86373</v>
      </c>
      <c r="U31" s="202">
        <f>IFERROR((T31-M31)/M31,0)</f>
        <v>0</v>
      </c>
      <c r="V31" s="218">
        <f>SUM(V15:V29)</f>
        <v>441488.60130718956</v>
      </c>
      <c r="W31" s="220">
        <f>SUM(W15:W29)</f>
        <v>86373</v>
      </c>
      <c r="X31" s="220">
        <f>SUM(X15:X29)</f>
        <v>527861.60130718956</v>
      </c>
      <c r="Y31" s="220">
        <f>SUM(Y15:Y29)</f>
        <v>0</v>
      </c>
      <c r="Z31" s="220">
        <f>SUM(Z15:Z29)</f>
        <v>527861.60130718956</v>
      </c>
      <c r="AA31" s="229">
        <f>IFERROR((Z31-T31)/T31,0)</f>
        <v>5.111419092855285</v>
      </c>
      <c r="AB31" s="218">
        <f>SUM(AB15:AB29)</f>
        <v>337990.87908496731</v>
      </c>
      <c r="AC31" s="220">
        <f>SUM(AC15:AC29)</f>
        <v>527861.60130718956</v>
      </c>
      <c r="AD31" s="220">
        <f>SUM(AD15:AD29)</f>
        <v>865852.48039215687</v>
      </c>
      <c r="AE31" s="220">
        <f>SUM(AE15:AE29)</f>
        <v>0</v>
      </c>
      <c r="AF31" s="220">
        <f>SUM(AF15:AF29)</f>
        <v>865852.48039215687</v>
      </c>
      <c r="AG31" s="202">
        <f>IFERROR((AF31-Z31)/Z31,0)</f>
        <v>0.64030207586225463</v>
      </c>
      <c r="AH31" s="218">
        <f>SUM(AH15:AH29)</f>
        <v>261064.5</v>
      </c>
      <c r="AI31" s="220">
        <f>SUM(AI15:AI29)</f>
        <v>865852.48039215687</v>
      </c>
      <c r="AJ31" s="220">
        <f>SUM(AJ15:AJ29)</f>
        <v>1126916.9803921569</v>
      </c>
      <c r="AK31" s="220">
        <f>SUM(AK15:AK29)</f>
        <v>0</v>
      </c>
      <c r="AL31" s="220">
        <f>SUM(AL15:AL29)</f>
        <v>1126916.9803921569</v>
      </c>
      <c r="AM31" s="202">
        <f t="shared" si="18"/>
        <v>0.30151152293490019</v>
      </c>
      <c r="AN31" s="218">
        <f>SUM(AN15:AN29)</f>
        <v>129565.5</v>
      </c>
      <c r="AO31" s="220">
        <f>SUM(AO15:AO29)</f>
        <v>1124857.4803921569</v>
      </c>
      <c r="AP31" s="220">
        <f>SUM(AP15:AP29)</f>
        <v>1254422.9803921569</v>
      </c>
      <c r="AQ31" s="220">
        <f>SUM(AQ15:AQ29)</f>
        <v>0</v>
      </c>
      <c r="AR31" s="220">
        <f>SUM(AR15:AR29)</f>
        <v>1254422.9803921569</v>
      </c>
      <c r="AS31" s="202">
        <f>IFERROR((AR31-AL31)/AL31,0)</f>
        <v>0.11314586807950047</v>
      </c>
      <c r="AT31" s="218">
        <f>SUM(AT15:AT29)</f>
        <v>3842096.0424836604</v>
      </c>
      <c r="AU31" s="199">
        <f>IFERROR((AR31/T31)^(1/4)-1,0)</f>
        <v>0.95216489744118449</v>
      </c>
    </row>
    <row r="32" spans="2:47" ht="15" customHeight="1" x14ac:dyDescent="0.25">
      <c r="M32" s="55" t="s">
        <v>278</v>
      </c>
    </row>
    <row r="33" spans="2:47" ht="15" customHeight="1" x14ac:dyDescent="0.25">
      <c r="M33" s="55"/>
    </row>
    <row r="34" spans="2:47" ht="15.75" x14ac:dyDescent="0.25">
      <c r="B34" s="352" t="s">
        <v>203</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row>
    <row r="35" spans="2:47" ht="5.45" customHeight="1" outlineLevel="1" x14ac:dyDescent="0.2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row>
    <row r="36" spans="2:47" outlineLevel="1" x14ac:dyDescent="0.25">
      <c r="B36" s="393"/>
      <c r="C36" s="396" t="s">
        <v>20</v>
      </c>
      <c r="D36" s="372" t="s">
        <v>262</v>
      </c>
      <c r="E36" s="373"/>
      <c r="F36" s="373"/>
      <c r="G36" s="373"/>
      <c r="H36" s="373"/>
      <c r="I36" s="373"/>
      <c r="J36" s="373"/>
      <c r="K36" s="373"/>
      <c r="L36" s="374"/>
      <c r="M36" s="372" t="s">
        <v>260</v>
      </c>
      <c r="N36" s="374"/>
      <c r="O36" s="388" t="str">
        <f xml:space="preserve"> D37&amp;" - "&amp;M37</f>
        <v>2018 - 2022</v>
      </c>
      <c r="P36" s="398"/>
      <c r="R36" s="372" t="s">
        <v>261</v>
      </c>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4"/>
    </row>
    <row r="37" spans="2:47" outlineLevel="1" x14ac:dyDescent="0.25">
      <c r="B37" s="394"/>
      <c r="C37" s="396"/>
      <c r="D37" s="88">
        <f>$C$3-5</f>
        <v>2018</v>
      </c>
      <c r="E37" s="372">
        <f>$C$3-4</f>
        <v>2019</v>
      </c>
      <c r="F37" s="374"/>
      <c r="G37" s="372">
        <f>$C$3-3</f>
        <v>2020</v>
      </c>
      <c r="H37" s="374"/>
      <c r="I37" s="372">
        <f>$C$3-2</f>
        <v>2021</v>
      </c>
      <c r="J37" s="374"/>
      <c r="K37" s="372" t="str">
        <f>$C$3-1&amp;""&amp;" ("&amp;"Σεπτ"&amp;")"</f>
        <v>2022 (Σεπτ)</v>
      </c>
      <c r="L37" s="374"/>
      <c r="M37" s="372">
        <f>$C$3-1</f>
        <v>2022</v>
      </c>
      <c r="N37" s="374"/>
      <c r="O37" s="390"/>
      <c r="P37" s="399"/>
      <c r="R37" s="416">
        <f>$C$3</f>
        <v>2023</v>
      </c>
      <c r="S37" s="403"/>
      <c r="T37" s="403"/>
      <c r="U37" s="418"/>
      <c r="V37" s="416">
        <f>$C$3+1</f>
        <v>2024</v>
      </c>
      <c r="W37" s="403"/>
      <c r="X37" s="403"/>
      <c r="Y37" s="403"/>
      <c r="Z37" s="403"/>
      <c r="AA37" s="418"/>
      <c r="AB37" s="372">
        <f>$C$3+2</f>
        <v>2025</v>
      </c>
      <c r="AC37" s="373"/>
      <c r="AD37" s="373"/>
      <c r="AE37" s="373"/>
      <c r="AF37" s="373"/>
      <c r="AG37" s="374"/>
      <c r="AH37" s="372">
        <f>$C$3+3</f>
        <v>2026</v>
      </c>
      <c r="AI37" s="373"/>
      <c r="AJ37" s="373"/>
      <c r="AK37" s="373"/>
      <c r="AL37" s="373"/>
      <c r="AM37" s="374"/>
      <c r="AN37" s="372">
        <f>$C$3+4</f>
        <v>2027</v>
      </c>
      <c r="AO37" s="373"/>
      <c r="AP37" s="373"/>
      <c r="AQ37" s="373"/>
      <c r="AR37" s="373"/>
      <c r="AS37" s="374"/>
      <c r="AT37" s="376" t="str">
        <f>R37&amp;" - "&amp;AN37</f>
        <v>2023 - 2027</v>
      </c>
      <c r="AU37" s="392"/>
    </row>
    <row r="38" spans="2:47" ht="15" customHeight="1" outlineLevel="1" x14ac:dyDescent="0.25">
      <c r="B38" s="394"/>
      <c r="C38" s="396"/>
      <c r="D38" s="419" t="s">
        <v>142</v>
      </c>
      <c r="E38" s="421" t="s">
        <v>142</v>
      </c>
      <c r="F38" s="423" t="s">
        <v>81</v>
      </c>
      <c r="G38" s="421" t="s">
        <v>142</v>
      </c>
      <c r="H38" s="423" t="s">
        <v>81</v>
      </c>
      <c r="I38" s="421" t="s">
        <v>142</v>
      </c>
      <c r="J38" s="427" t="s">
        <v>81</v>
      </c>
      <c r="K38" s="421" t="s">
        <v>142</v>
      </c>
      <c r="L38" s="427" t="s">
        <v>81</v>
      </c>
      <c r="M38" s="421" t="s">
        <v>142</v>
      </c>
      <c r="N38" s="427" t="s">
        <v>81</v>
      </c>
      <c r="O38" s="421" t="s">
        <v>17</v>
      </c>
      <c r="P38" s="425" t="s">
        <v>83</v>
      </c>
      <c r="R38" s="421" t="str">
        <f>"Διανεμόμενες ποσότητες σε πελάτες που συνδέθηκαν το "&amp;R37</f>
        <v>Διανεμόμενες ποσότητες σε πελάτες που συνδέθηκαν το 2023</v>
      </c>
      <c r="S38" s="417" t="s">
        <v>146</v>
      </c>
      <c r="T38" s="417" t="s">
        <v>143</v>
      </c>
      <c r="U38" s="415" t="s">
        <v>81</v>
      </c>
      <c r="V38" s="416" t="s">
        <v>144</v>
      </c>
      <c r="W38" s="403"/>
      <c r="X38" s="403"/>
      <c r="Y38" s="417" t="s">
        <v>146</v>
      </c>
      <c r="Z38" s="417" t="s">
        <v>143</v>
      </c>
      <c r="AA38" s="418" t="s">
        <v>81</v>
      </c>
      <c r="AB38" s="416" t="s">
        <v>144</v>
      </c>
      <c r="AC38" s="403"/>
      <c r="AD38" s="403"/>
      <c r="AE38" s="417" t="s">
        <v>146</v>
      </c>
      <c r="AF38" s="417" t="s">
        <v>143</v>
      </c>
      <c r="AG38" s="418" t="s">
        <v>81</v>
      </c>
      <c r="AH38" s="416" t="s">
        <v>144</v>
      </c>
      <c r="AI38" s="403"/>
      <c r="AJ38" s="403"/>
      <c r="AK38" s="417" t="s">
        <v>146</v>
      </c>
      <c r="AL38" s="417" t="s">
        <v>143</v>
      </c>
      <c r="AM38" s="418" t="s">
        <v>81</v>
      </c>
      <c r="AN38" s="416" t="s">
        <v>144</v>
      </c>
      <c r="AO38" s="403"/>
      <c r="AP38" s="403"/>
      <c r="AQ38" s="417" t="s">
        <v>146</v>
      </c>
      <c r="AR38" s="417" t="s">
        <v>143</v>
      </c>
      <c r="AS38" s="418" t="s">
        <v>81</v>
      </c>
      <c r="AT38" s="430" t="s">
        <v>17</v>
      </c>
      <c r="AU38" s="428" t="s">
        <v>83</v>
      </c>
    </row>
    <row r="39" spans="2:47" ht="60" outlineLevel="1" x14ac:dyDescent="0.25">
      <c r="B39" s="395"/>
      <c r="C39" s="396"/>
      <c r="D39" s="420"/>
      <c r="E39" s="422"/>
      <c r="F39" s="424"/>
      <c r="G39" s="422"/>
      <c r="H39" s="424"/>
      <c r="I39" s="422"/>
      <c r="J39" s="380"/>
      <c r="K39" s="422"/>
      <c r="L39" s="380"/>
      <c r="M39" s="422"/>
      <c r="N39" s="380"/>
      <c r="O39" s="422"/>
      <c r="P39" s="426"/>
      <c r="R39" s="422"/>
      <c r="S39" s="417"/>
      <c r="T39" s="417"/>
      <c r="U39" s="415"/>
      <c r="V39" s="135" t="str">
        <f>"Διανεμόμενες ποσότητες σε πελάτες που συνδέθηκαν το "&amp;V37</f>
        <v>Διανεμόμενες ποσότητες σε πελάτες που συνδέθηκαν το 2024</v>
      </c>
      <c r="W39" s="117" t="str">
        <f>"Διανεμόμενες ποσότητες σε πελάτες που συνδέθηκαν το "&amp;R37</f>
        <v>Διανεμόμενες ποσότητες σε πελάτες που συνδέθηκαν το 2023</v>
      </c>
      <c r="X39" s="60" t="s">
        <v>145</v>
      </c>
      <c r="Y39" s="417"/>
      <c r="Z39" s="417"/>
      <c r="AA39" s="418"/>
      <c r="AB39" s="135" t="str">
        <f>"Διανεμόμενες ποσότητες σε πελάτες που συνδέθηκαν το "&amp;AB37</f>
        <v>Διανεμόμενες ποσότητες σε πελάτες που συνδέθηκαν το 2025</v>
      </c>
      <c r="AC39" s="117" t="str">
        <f>"Διανεμόμενες ποσότητες σε πελάτες που συνδέθηκαν το "&amp;$R$12&amp;" - "&amp;V37</f>
        <v>Διανεμόμενες ποσότητες σε πελάτες που συνδέθηκαν το 2023 - 2024</v>
      </c>
      <c r="AD39" s="60" t="s">
        <v>145</v>
      </c>
      <c r="AE39" s="417"/>
      <c r="AF39" s="417"/>
      <c r="AG39" s="418"/>
      <c r="AH39" s="135" t="str">
        <f>"Διανεμόμενες ποσότητες σε πελάτες που συνδέθηκαν το "&amp;AH37</f>
        <v>Διανεμόμενες ποσότητες σε πελάτες που συνδέθηκαν το 2026</v>
      </c>
      <c r="AI39" s="117" t="str">
        <f>"Διανεμόμενες ποσότητες σε πελάτες που συνδέθηκαν το "&amp;$R$12&amp;" - "&amp;AB37</f>
        <v>Διανεμόμενες ποσότητες σε πελάτες που συνδέθηκαν το 2023 - 2025</v>
      </c>
      <c r="AJ39" s="60" t="s">
        <v>145</v>
      </c>
      <c r="AK39" s="417"/>
      <c r="AL39" s="417"/>
      <c r="AM39" s="418"/>
      <c r="AN39" s="135" t="str">
        <f>"Διανεμόμενες ποσότητες σε πελάτες που συνδέθηκαν το "&amp;AN37</f>
        <v>Διανεμόμενες ποσότητες σε πελάτες που συνδέθηκαν το 2027</v>
      </c>
      <c r="AO39" s="117" t="str">
        <f>"Διανεμόμενες ποσότητες σε πελάτες που συνδέθηκαν το "&amp;$R$12&amp;" - "&amp;AH37</f>
        <v>Διανεμόμενες ποσότητες σε πελάτες που συνδέθηκαν το 2023 - 2026</v>
      </c>
      <c r="AP39" s="60" t="s">
        <v>145</v>
      </c>
      <c r="AQ39" s="417"/>
      <c r="AR39" s="417"/>
      <c r="AS39" s="418"/>
      <c r="AT39" s="431"/>
      <c r="AU39" s="429"/>
    </row>
    <row r="40" spans="2:47" outlineLevel="1" x14ac:dyDescent="0.25">
      <c r="B40" s="281" t="s">
        <v>283</v>
      </c>
      <c r="C40" s="64" t="s">
        <v>26</v>
      </c>
      <c r="D40" s="91">
        <v>0</v>
      </c>
      <c r="E40" s="91">
        <v>0</v>
      </c>
      <c r="F40" s="203">
        <f t="shared" ref="F40:F43" si="137">IFERROR((E40-D40)/D40,0)</f>
        <v>0</v>
      </c>
      <c r="G40" s="91">
        <v>0</v>
      </c>
      <c r="H40" s="203">
        <f>IFERROR((G40-E40)/E40,0)</f>
        <v>0</v>
      </c>
      <c r="I40" s="91">
        <v>41</v>
      </c>
      <c r="J40" s="203">
        <f>IFERROR((I40-G40)/G40,0)</f>
        <v>0</v>
      </c>
      <c r="K40" s="91">
        <v>240</v>
      </c>
      <c r="L40" s="157"/>
      <c r="M40" s="71"/>
      <c r="N40" s="203">
        <f t="shared" ref="N40:N43" si="138">IFERROR((M40-I40)/I40,0)</f>
        <v>-1</v>
      </c>
      <c r="O40" s="198">
        <f t="shared" ref="O40:O43" si="139">D40+E40+G40+I40+M40</f>
        <v>41</v>
      </c>
      <c r="P40" s="199">
        <f t="shared" ref="P40:P43" si="140">IFERROR((M40/D40)^(1/4)-1,0)</f>
        <v>0</v>
      </c>
      <c r="R40" s="206">
        <f>'Μέση ετήσια κατανάλωση'!F14*'Ενεργοί πελάτες'!Y38</f>
        <v>3700</v>
      </c>
      <c r="S40" s="6"/>
      <c r="T40" s="167">
        <f>R40+S40</f>
        <v>3700</v>
      </c>
      <c r="U40" s="228">
        <f t="shared" ref="U40:U43" si="141">IFERROR((T40-M40)/M40,0)</f>
        <v>0</v>
      </c>
      <c r="V40" s="206">
        <f>'Μέση ετήσια κατανάλωση'!G14*'Ενεργοί πελάτες'!AA38</f>
        <v>4625</v>
      </c>
      <c r="W40" s="167">
        <f>R40</f>
        <v>3700</v>
      </c>
      <c r="X40" s="167">
        <f>V40+W40</f>
        <v>8325</v>
      </c>
      <c r="Y40" s="6"/>
      <c r="Z40" s="167">
        <f>X40+Y40</f>
        <v>8325</v>
      </c>
      <c r="AA40" s="203">
        <f t="shared" ref="AA40:AA43" si="142">IFERROR((Z40-T40)/T40,0)</f>
        <v>1.25</v>
      </c>
      <c r="AB40" s="206">
        <f>'Μέση ετήσια κατανάλωση'!G14*'Ενεργοί πελάτες'!AD38</f>
        <v>2625</v>
      </c>
      <c r="AC40" s="167">
        <f>X40</f>
        <v>8325</v>
      </c>
      <c r="AD40" s="167">
        <f>AB40+AC40</f>
        <v>10950</v>
      </c>
      <c r="AE40" s="6"/>
      <c r="AF40" s="167">
        <f>AD40+AE40</f>
        <v>10950</v>
      </c>
      <c r="AG40" s="203">
        <f>IFERROR((AF40-Z40)/Z40,0)</f>
        <v>0.31531531531531531</v>
      </c>
      <c r="AH40" s="206">
        <f>'Μέση ετήσια κατανάλωση'!G14*'Ενεργοί πελάτες'!AG38</f>
        <v>750</v>
      </c>
      <c r="AI40" s="167">
        <f>AD40</f>
        <v>10950</v>
      </c>
      <c r="AJ40" s="167">
        <f>AH40+AI40</f>
        <v>11700</v>
      </c>
      <c r="AK40" s="6"/>
      <c r="AL40" s="167">
        <f>AJ40+AK40</f>
        <v>11700</v>
      </c>
      <c r="AM40" s="203">
        <f>IFERROR((AL40-AF40)/AF40,0)</f>
        <v>6.8493150684931503E-2</v>
      </c>
      <c r="AN40" s="206">
        <f>'Μέση ετήσια κατανάλωση'!G14*'Ενεργοί πελάτες'!AJ38</f>
        <v>400</v>
      </c>
      <c r="AO40" s="167">
        <f>AJ40</f>
        <v>11700</v>
      </c>
      <c r="AP40" s="167">
        <f>AN40+AO40</f>
        <v>12100</v>
      </c>
      <c r="AQ40" s="6"/>
      <c r="AR40" s="167">
        <f>AP40+AQ40</f>
        <v>12100</v>
      </c>
      <c r="AS40" s="203">
        <f>IFERROR((AR40-AL40)/AL40,0)</f>
        <v>3.4188034188034191E-2</v>
      </c>
      <c r="AT40" s="198">
        <f>T40+Z40+AF40+AL40+AR40</f>
        <v>46775</v>
      </c>
      <c r="AU40" s="199">
        <f t="shared" ref="AU40:AU43" si="143">IFERROR((AR40/T40)^(1/4)-1,0)</f>
        <v>0.34476349606870649</v>
      </c>
    </row>
    <row r="41" spans="2:47" outlineLevel="1" x14ac:dyDescent="0.25">
      <c r="B41" s="52" t="s">
        <v>284</v>
      </c>
      <c r="C41" s="64" t="s">
        <v>26</v>
      </c>
      <c r="D41" s="91">
        <v>0</v>
      </c>
      <c r="E41" s="91">
        <v>0</v>
      </c>
      <c r="F41" s="203">
        <f t="shared" si="137"/>
        <v>0</v>
      </c>
      <c r="G41" s="91">
        <v>0</v>
      </c>
      <c r="H41" s="203">
        <f t="shared" ref="H41:J56" si="144">IFERROR((G41-E41)/E41,0)</f>
        <v>0</v>
      </c>
      <c r="I41" s="91">
        <v>0</v>
      </c>
      <c r="J41" s="203">
        <f t="shared" si="144"/>
        <v>0</v>
      </c>
      <c r="K41" s="91">
        <v>50</v>
      </c>
      <c r="L41" s="157"/>
      <c r="M41" s="71"/>
      <c r="N41" s="203">
        <f t="shared" si="138"/>
        <v>0</v>
      </c>
      <c r="O41" s="198">
        <f t="shared" si="139"/>
        <v>0</v>
      </c>
      <c r="P41" s="199">
        <f t="shared" si="140"/>
        <v>0</v>
      </c>
      <c r="R41" s="206">
        <f>'Μέση ετήσια κατανάλωση'!F15*'Ενεργοί πελάτες'!Y39</f>
        <v>2685</v>
      </c>
      <c r="S41" s="6"/>
      <c r="T41" s="167">
        <f t="shared" ref="T41:T43" si="145">R41+S41</f>
        <v>2685</v>
      </c>
      <c r="U41" s="228">
        <f t="shared" si="141"/>
        <v>0</v>
      </c>
      <c r="V41" s="206">
        <f>'Μέση ετήσια κατανάλωση'!G15*'Ενεργοί πελάτες'!AA39</f>
        <v>3900</v>
      </c>
      <c r="W41" s="167">
        <f t="shared" ref="W41:W48" si="146">R41</f>
        <v>2685</v>
      </c>
      <c r="X41" s="167">
        <f t="shared" ref="X41:X43" si="147">V41+W41</f>
        <v>6585</v>
      </c>
      <c r="Y41" s="6"/>
      <c r="Z41" s="167">
        <f t="shared" ref="Z41:Z43" si="148">X41+Y41</f>
        <v>6585</v>
      </c>
      <c r="AA41" s="203">
        <f t="shared" si="142"/>
        <v>1.4525139664804469</v>
      </c>
      <c r="AB41" s="206">
        <f>'Μέση ετήσια κατανάλωση'!G15*'Ενεργοί πελάτες'!AD39</f>
        <v>3810</v>
      </c>
      <c r="AC41" s="167">
        <f t="shared" ref="AC41:AC48" si="149">X41</f>
        <v>6585</v>
      </c>
      <c r="AD41" s="167">
        <f t="shared" ref="AD41:AD43" si="150">AB41+AC41</f>
        <v>10395</v>
      </c>
      <c r="AE41" s="6"/>
      <c r="AF41" s="167">
        <f t="shared" ref="AF41:AF43" si="151">AD41+AE41</f>
        <v>10395</v>
      </c>
      <c r="AG41" s="203">
        <f t="shared" ref="AG41:AG56" si="152">IFERROR((AF41-Z41)/Z41,0)</f>
        <v>0.57858769931662868</v>
      </c>
      <c r="AH41" s="206">
        <f>'Μέση ετήσια κατανάλωση'!G15*'Ενεργοί πελάτες'!AG39</f>
        <v>1020</v>
      </c>
      <c r="AI41" s="167">
        <f t="shared" ref="AI41:AI48" si="153">AD41</f>
        <v>10395</v>
      </c>
      <c r="AJ41" s="167">
        <f t="shared" ref="AJ41:AJ43" si="154">AH41+AI41</f>
        <v>11415</v>
      </c>
      <c r="AK41" s="6"/>
      <c r="AL41" s="167">
        <f t="shared" ref="AL41:AL43" si="155">AJ41+AK41</f>
        <v>11415</v>
      </c>
      <c r="AM41" s="203">
        <f t="shared" ref="AM41:AM56" si="156">IFERROR((AL41-AF41)/AF41,0)</f>
        <v>9.8124098124098127E-2</v>
      </c>
      <c r="AN41" s="206">
        <f>'Μέση ετήσια κατανάλωση'!G15*'Ενεργοί πελάτες'!AJ39</f>
        <v>210</v>
      </c>
      <c r="AO41" s="167">
        <f t="shared" ref="AO41:AO48" si="157">AJ41</f>
        <v>11415</v>
      </c>
      <c r="AP41" s="167">
        <f t="shared" ref="AP41:AP43" si="158">AN41+AO41</f>
        <v>11625</v>
      </c>
      <c r="AQ41" s="6"/>
      <c r="AR41" s="167">
        <f t="shared" ref="AR41:AR43" si="159">AP41+AQ41</f>
        <v>11625</v>
      </c>
      <c r="AS41" s="203">
        <f t="shared" ref="AS41:AS43" si="160">IFERROR((AR41-AL41)/AL41,0)</f>
        <v>1.8396846254927726E-2</v>
      </c>
      <c r="AT41" s="198">
        <f t="shared" ref="AT41:AT43" si="161">T41+Z41+AF41+AL41+AR41</f>
        <v>42705</v>
      </c>
      <c r="AU41" s="199">
        <f t="shared" si="143"/>
        <v>0.4424878635456142</v>
      </c>
    </row>
    <row r="42" spans="2:47" outlineLevel="1" x14ac:dyDescent="0.25">
      <c r="B42" s="52" t="s">
        <v>285</v>
      </c>
      <c r="C42" s="64" t="s">
        <v>26</v>
      </c>
      <c r="D42" s="91">
        <v>0</v>
      </c>
      <c r="E42" s="91">
        <v>0</v>
      </c>
      <c r="F42" s="203">
        <f t="shared" si="137"/>
        <v>0</v>
      </c>
      <c r="G42" s="91">
        <v>0</v>
      </c>
      <c r="H42" s="203">
        <f t="shared" si="144"/>
        <v>0</v>
      </c>
      <c r="I42" s="91">
        <v>0</v>
      </c>
      <c r="J42" s="203">
        <f t="shared" si="144"/>
        <v>0</v>
      </c>
      <c r="K42" s="91">
        <v>40</v>
      </c>
      <c r="L42" s="157"/>
      <c r="M42" s="71"/>
      <c r="N42" s="203">
        <f t="shared" si="138"/>
        <v>0</v>
      </c>
      <c r="O42" s="198">
        <f t="shared" si="139"/>
        <v>0</v>
      </c>
      <c r="P42" s="199">
        <f t="shared" si="140"/>
        <v>0</v>
      </c>
      <c r="R42" s="206">
        <f>'Μέση ετήσια κατανάλωση'!F16*'Ενεργοί πελάτες'!Y40</f>
        <v>2520</v>
      </c>
      <c r="S42" s="6"/>
      <c r="T42" s="167">
        <f t="shared" si="145"/>
        <v>2520</v>
      </c>
      <c r="U42" s="228">
        <f t="shared" si="141"/>
        <v>0</v>
      </c>
      <c r="V42" s="206">
        <f>'Μέση ετήσια κατανάλωση'!G16*'Ενεργοί πελάτες'!AA40</f>
        <v>3825</v>
      </c>
      <c r="W42" s="167">
        <f t="shared" si="146"/>
        <v>2520</v>
      </c>
      <c r="X42" s="167">
        <f t="shared" si="147"/>
        <v>6345</v>
      </c>
      <c r="Y42" s="6"/>
      <c r="Z42" s="167">
        <f t="shared" si="148"/>
        <v>6345</v>
      </c>
      <c r="AA42" s="203">
        <f t="shared" si="142"/>
        <v>1.5178571428571428</v>
      </c>
      <c r="AB42" s="206">
        <f>'Μέση ετήσια κατανάλωση'!G16*'Ενεργοί πελάτες'!AD40</f>
        <v>3090</v>
      </c>
      <c r="AC42" s="167">
        <f t="shared" si="149"/>
        <v>6345</v>
      </c>
      <c r="AD42" s="167">
        <f t="shared" si="150"/>
        <v>9435</v>
      </c>
      <c r="AE42" s="6"/>
      <c r="AF42" s="167">
        <f t="shared" si="151"/>
        <v>9435</v>
      </c>
      <c r="AG42" s="203">
        <f t="shared" si="152"/>
        <v>0.48699763593380613</v>
      </c>
      <c r="AH42" s="206">
        <f>'Μέση ετήσια κατανάλωση'!G16*'Ενεργοί πελάτες'!AG40</f>
        <v>960</v>
      </c>
      <c r="AI42" s="167">
        <f t="shared" si="153"/>
        <v>9435</v>
      </c>
      <c r="AJ42" s="167">
        <f t="shared" si="154"/>
        <v>10395</v>
      </c>
      <c r="AK42" s="6"/>
      <c r="AL42" s="167">
        <f t="shared" si="155"/>
        <v>10395</v>
      </c>
      <c r="AM42" s="203">
        <f t="shared" si="156"/>
        <v>0.10174880763116058</v>
      </c>
      <c r="AN42" s="206">
        <f>'Μέση ετήσια κατανάλωση'!G16*'Ενεργοί πελάτες'!AJ40</f>
        <v>480</v>
      </c>
      <c r="AO42" s="167">
        <f t="shared" si="157"/>
        <v>10395</v>
      </c>
      <c r="AP42" s="167">
        <f t="shared" si="158"/>
        <v>10875</v>
      </c>
      <c r="AQ42" s="6"/>
      <c r="AR42" s="167">
        <f t="shared" si="159"/>
        <v>10875</v>
      </c>
      <c r="AS42" s="203">
        <f t="shared" si="160"/>
        <v>4.6176046176046176E-2</v>
      </c>
      <c r="AT42" s="198">
        <f t="shared" si="161"/>
        <v>39570</v>
      </c>
      <c r="AU42" s="199">
        <f t="shared" si="143"/>
        <v>0.44130927444356693</v>
      </c>
    </row>
    <row r="43" spans="2:47" ht="16.5" customHeight="1" outlineLevel="1" x14ac:dyDescent="0.25">
      <c r="B43" s="52" t="s">
        <v>286</v>
      </c>
      <c r="C43" s="64" t="s">
        <v>26</v>
      </c>
      <c r="D43" s="91">
        <v>0</v>
      </c>
      <c r="E43" s="91">
        <v>0</v>
      </c>
      <c r="F43" s="203">
        <f t="shared" si="137"/>
        <v>0</v>
      </c>
      <c r="G43" s="91">
        <v>0</v>
      </c>
      <c r="H43" s="203">
        <f t="shared" si="144"/>
        <v>0</v>
      </c>
      <c r="I43" s="91">
        <v>0</v>
      </c>
      <c r="J43" s="203">
        <f t="shared" si="144"/>
        <v>0</v>
      </c>
      <c r="K43" s="91">
        <v>0</v>
      </c>
      <c r="L43" s="157"/>
      <c r="M43" s="71"/>
      <c r="N43" s="203">
        <f t="shared" si="138"/>
        <v>0</v>
      </c>
      <c r="O43" s="198">
        <f t="shared" si="139"/>
        <v>0</v>
      </c>
      <c r="P43" s="199">
        <f t="shared" si="140"/>
        <v>0</v>
      </c>
      <c r="R43" s="206">
        <f>'Μέση ετήσια κατανάλωση'!F17*'Ενεργοί πελάτες'!Y41</f>
        <v>3525</v>
      </c>
      <c r="S43" s="6"/>
      <c r="T43" s="172">
        <f t="shared" si="145"/>
        <v>3525</v>
      </c>
      <c r="U43" s="228">
        <f t="shared" si="141"/>
        <v>0</v>
      </c>
      <c r="V43" s="206">
        <f>'Μέση ετήσια κατανάλωση'!G17*'Ενεργοί πελάτες'!AA41</f>
        <v>16050</v>
      </c>
      <c r="W43" s="167">
        <f t="shared" si="146"/>
        <v>3525</v>
      </c>
      <c r="X43" s="167">
        <f t="shared" si="147"/>
        <v>19575</v>
      </c>
      <c r="Y43" s="6"/>
      <c r="Z43" s="167">
        <f t="shared" si="148"/>
        <v>19575</v>
      </c>
      <c r="AA43" s="203">
        <f t="shared" si="142"/>
        <v>4.5531914893617023</v>
      </c>
      <c r="AB43" s="206">
        <f>'Μέση ετήσια κατανάλωση'!G17*'Ενεργοί πελάτες'!AD41</f>
        <v>12150</v>
      </c>
      <c r="AC43" s="167">
        <f t="shared" si="149"/>
        <v>19575</v>
      </c>
      <c r="AD43" s="167">
        <f t="shared" si="150"/>
        <v>31725</v>
      </c>
      <c r="AE43" s="6"/>
      <c r="AF43" s="167">
        <f t="shared" si="151"/>
        <v>31725</v>
      </c>
      <c r="AG43" s="203">
        <f t="shared" si="152"/>
        <v>0.62068965517241381</v>
      </c>
      <c r="AH43" s="206">
        <f>'Μέση ετήσια κατανάλωση'!G17*'Ενεργοί πελάτες'!AG41</f>
        <v>4155</v>
      </c>
      <c r="AI43" s="167">
        <f t="shared" si="153"/>
        <v>31725</v>
      </c>
      <c r="AJ43" s="167">
        <f t="shared" si="154"/>
        <v>35880</v>
      </c>
      <c r="AK43" s="6"/>
      <c r="AL43" s="167">
        <f t="shared" si="155"/>
        <v>35880</v>
      </c>
      <c r="AM43" s="203">
        <f t="shared" si="156"/>
        <v>0.1309692671394799</v>
      </c>
      <c r="AN43" s="206">
        <f>'Μέση ετήσια κατανάλωση'!G17*'Ενεργοί πελάτες'!AJ41</f>
        <v>2070</v>
      </c>
      <c r="AO43" s="167">
        <f t="shared" si="157"/>
        <v>35880</v>
      </c>
      <c r="AP43" s="167">
        <f t="shared" si="158"/>
        <v>37950</v>
      </c>
      <c r="AQ43" s="6"/>
      <c r="AR43" s="167">
        <f t="shared" si="159"/>
        <v>37950</v>
      </c>
      <c r="AS43" s="203">
        <f t="shared" si="160"/>
        <v>5.7692307692307696E-2</v>
      </c>
      <c r="AT43" s="198">
        <f t="shared" si="161"/>
        <v>128655</v>
      </c>
      <c r="AU43" s="199">
        <f t="shared" si="143"/>
        <v>0.81139500042631907</v>
      </c>
    </row>
    <row r="44" spans="2:47" ht="16.5" customHeight="1" outlineLevel="1" x14ac:dyDescent="0.25">
      <c r="B44" s="52" t="s">
        <v>287</v>
      </c>
      <c r="C44" s="64" t="s">
        <v>26</v>
      </c>
      <c r="D44" s="91">
        <v>0</v>
      </c>
      <c r="E44" s="91">
        <v>0</v>
      </c>
      <c r="F44" s="203">
        <f t="shared" ref="F44" si="162">IFERROR((E44-D44)/D44,0)</f>
        <v>0</v>
      </c>
      <c r="G44" s="91">
        <v>0</v>
      </c>
      <c r="H44" s="203">
        <f t="shared" ref="H44" si="163">IFERROR((G44-E44)/E44,0)</f>
        <v>0</v>
      </c>
      <c r="I44" s="91">
        <v>0</v>
      </c>
      <c r="J44" s="203">
        <f t="shared" ref="J44" si="164">IFERROR((I44-G44)/G44,0)</f>
        <v>0</v>
      </c>
      <c r="K44" s="91">
        <v>0</v>
      </c>
      <c r="L44" s="157"/>
      <c r="M44" s="71"/>
      <c r="N44" s="203">
        <f t="shared" ref="N44" si="165">IFERROR((M44-I44)/I44,0)</f>
        <v>0</v>
      </c>
      <c r="O44" s="198">
        <f t="shared" ref="O44" si="166">D44+E44+G44+I44+M44</f>
        <v>0</v>
      </c>
      <c r="P44" s="199">
        <f t="shared" ref="P44" si="167">IFERROR((M44/D44)^(1/4)-1,0)</f>
        <v>0</v>
      </c>
      <c r="R44" s="206">
        <f>'Μέση ετήσια κατανάλωση'!F18*'Ενεργοί πελάτες'!Y42</f>
        <v>0</v>
      </c>
      <c r="S44" s="6"/>
      <c r="T44" s="172">
        <f t="shared" ref="T44" si="168">R44+S44</f>
        <v>0</v>
      </c>
      <c r="U44" s="228">
        <f t="shared" ref="U44" si="169">IFERROR((T44-M44)/M44,0)</f>
        <v>0</v>
      </c>
      <c r="V44" s="206">
        <f>'Μέση ετήσια κατανάλωση'!G18*'Ενεργοί πελάτες'!AA42</f>
        <v>12000</v>
      </c>
      <c r="W44" s="167">
        <f t="shared" si="146"/>
        <v>0</v>
      </c>
      <c r="X44" s="167">
        <f t="shared" ref="X44" si="170">V44+W44</f>
        <v>12000</v>
      </c>
      <c r="Y44" s="6"/>
      <c r="Z44" s="167">
        <f t="shared" ref="Z44" si="171">X44+Y44</f>
        <v>12000</v>
      </c>
      <c r="AA44" s="203">
        <f t="shared" ref="AA44" si="172">IFERROR((Z44-T44)/T44,0)</f>
        <v>0</v>
      </c>
      <c r="AB44" s="206">
        <f>'Μέση ετήσια κατανάλωση'!G18*'Ενεργοί πελάτες'!AD42</f>
        <v>11220</v>
      </c>
      <c r="AC44" s="167">
        <f t="shared" si="149"/>
        <v>12000</v>
      </c>
      <c r="AD44" s="167">
        <f t="shared" ref="AD44" si="173">AB44+AC44</f>
        <v>23220</v>
      </c>
      <c r="AE44" s="6"/>
      <c r="AF44" s="167">
        <f t="shared" ref="AF44" si="174">AD44+AE44</f>
        <v>23220</v>
      </c>
      <c r="AG44" s="203">
        <f t="shared" ref="AG44" si="175">IFERROR((AF44-Z44)/Z44,0)</f>
        <v>0.93500000000000005</v>
      </c>
      <c r="AH44" s="206">
        <f>'Μέση ετήσια κατανάλωση'!G18*'Ενεργοί πελάτες'!AG42</f>
        <v>10290</v>
      </c>
      <c r="AI44" s="167">
        <f t="shared" si="153"/>
        <v>23220</v>
      </c>
      <c r="AJ44" s="167">
        <f t="shared" ref="AJ44" si="176">AH44+AI44</f>
        <v>33510</v>
      </c>
      <c r="AK44" s="6"/>
      <c r="AL44" s="167">
        <f t="shared" ref="AL44" si="177">AJ44+AK44</f>
        <v>33510</v>
      </c>
      <c r="AM44" s="203">
        <f t="shared" ref="AM44" si="178">IFERROR((AL44-AF44)/AF44,0)</f>
        <v>0.44315245478036175</v>
      </c>
      <c r="AN44" s="206">
        <f>'Μέση ετήσια κατανάλωση'!G18*'Ενεργοί πελάτες'!AJ42</f>
        <v>5160</v>
      </c>
      <c r="AO44" s="167">
        <f t="shared" si="157"/>
        <v>33510</v>
      </c>
      <c r="AP44" s="167">
        <f t="shared" ref="AP44" si="179">AN44+AO44</f>
        <v>38670</v>
      </c>
      <c r="AQ44" s="6"/>
      <c r="AR44" s="167">
        <f t="shared" ref="AR44" si="180">AP44+AQ44</f>
        <v>38670</v>
      </c>
      <c r="AS44" s="203">
        <f t="shared" ref="AS44" si="181">IFERROR((AR44-AL44)/AL44,0)</f>
        <v>0.15398388540734109</v>
      </c>
      <c r="AT44" s="198">
        <f t="shared" ref="AT44" si="182">T44+Z44+AF44+AL44+AR44</f>
        <v>107400</v>
      </c>
      <c r="AU44" s="199">
        <f t="shared" ref="AU44" si="183">IFERROR((AR44/T44)^(1/4)-1,0)</f>
        <v>0</v>
      </c>
    </row>
    <row r="45" spans="2:47" ht="16.5" customHeight="1" outlineLevel="1" x14ac:dyDescent="0.25">
      <c r="B45" s="52" t="s">
        <v>288</v>
      </c>
      <c r="C45" s="64" t="s">
        <v>26</v>
      </c>
      <c r="D45" s="91">
        <v>0</v>
      </c>
      <c r="E45" s="91">
        <v>0</v>
      </c>
      <c r="F45" s="203">
        <f t="shared" ref="F45:F46" si="184">IFERROR((E45-D45)/D45,0)</f>
        <v>0</v>
      </c>
      <c r="G45" s="91">
        <v>0</v>
      </c>
      <c r="H45" s="203">
        <f t="shared" ref="H45:H46" si="185">IFERROR((G45-E45)/E45,0)</f>
        <v>0</v>
      </c>
      <c r="I45" s="91">
        <v>0</v>
      </c>
      <c r="J45" s="203">
        <f t="shared" ref="J45:J46" si="186">IFERROR((I45-G45)/G45,0)</f>
        <v>0</v>
      </c>
      <c r="K45" s="91">
        <v>0</v>
      </c>
      <c r="L45" s="157"/>
      <c r="M45" s="71"/>
      <c r="N45" s="203">
        <f t="shared" ref="N45:N46" si="187">IFERROR((M45-I45)/I45,0)</f>
        <v>0</v>
      </c>
      <c r="O45" s="198">
        <f t="shared" ref="O45:O46" si="188">D45+E45+G45+I45+M45</f>
        <v>0</v>
      </c>
      <c r="P45" s="199">
        <f t="shared" ref="P45:P46" si="189">IFERROR((M45/D45)^(1/4)-1,0)</f>
        <v>0</v>
      </c>
      <c r="R45" s="206">
        <f>'Μέση ετήσια κατανάλωση'!F19*'Ενεργοί πελάτες'!Y43</f>
        <v>2925</v>
      </c>
      <c r="S45" s="6"/>
      <c r="T45" s="172">
        <f t="shared" ref="T45:T46" si="190">R45+S45</f>
        <v>2925</v>
      </c>
      <c r="U45" s="228">
        <f t="shared" ref="U45:U46" si="191">IFERROR((T45-M45)/M45,0)</f>
        <v>0</v>
      </c>
      <c r="V45" s="206">
        <f>'Μέση ετήσια κατανάλωση'!G19*'Ενεργοί πελάτες'!AA43</f>
        <v>5400</v>
      </c>
      <c r="W45" s="167">
        <f t="shared" si="146"/>
        <v>2925</v>
      </c>
      <c r="X45" s="167">
        <f t="shared" ref="X45:X46" si="192">V45+W45</f>
        <v>8325</v>
      </c>
      <c r="Y45" s="6"/>
      <c r="Z45" s="167">
        <f t="shared" ref="Z45:Z46" si="193">X45+Y45</f>
        <v>8325</v>
      </c>
      <c r="AA45" s="203">
        <f t="shared" ref="AA45:AA46" si="194">IFERROR((Z45-T45)/T45,0)</f>
        <v>1.8461538461538463</v>
      </c>
      <c r="AB45" s="206">
        <f>'Μέση ετήσια κατανάλωση'!G19*'Ενεργοί πελάτες'!AD43</f>
        <v>3270</v>
      </c>
      <c r="AC45" s="167">
        <f t="shared" si="149"/>
        <v>8325</v>
      </c>
      <c r="AD45" s="167">
        <f t="shared" ref="AD45:AD46" si="195">AB45+AC45</f>
        <v>11595</v>
      </c>
      <c r="AE45" s="6"/>
      <c r="AF45" s="167">
        <f t="shared" ref="AF45:AF46" si="196">AD45+AE45</f>
        <v>11595</v>
      </c>
      <c r="AG45" s="203">
        <f t="shared" ref="AG45:AG46" si="197">IFERROR((AF45-Z45)/Z45,0)</f>
        <v>0.39279279279279278</v>
      </c>
      <c r="AH45" s="206">
        <f>'Μέση ετήσια κατανάλωση'!G19*'Ενεργοί πελάτες'!AG43</f>
        <v>750</v>
      </c>
      <c r="AI45" s="167">
        <f t="shared" si="153"/>
        <v>11595</v>
      </c>
      <c r="AJ45" s="167">
        <f t="shared" ref="AJ45:AJ46" si="198">AH45+AI45</f>
        <v>12345</v>
      </c>
      <c r="AK45" s="6"/>
      <c r="AL45" s="167">
        <f t="shared" ref="AL45:AL46" si="199">AJ45+AK45</f>
        <v>12345</v>
      </c>
      <c r="AM45" s="203">
        <f t="shared" ref="AM45:AM46" si="200">IFERROR((AL45-AF45)/AF45,0)</f>
        <v>6.4683053040103494E-2</v>
      </c>
      <c r="AN45" s="206">
        <f>'Μέση ετήσια κατανάλωση'!G19*'Ενεργοί πελάτες'!AJ43</f>
        <v>375</v>
      </c>
      <c r="AO45" s="167">
        <f t="shared" si="157"/>
        <v>12345</v>
      </c>
      <c r="AP45" s="167">
        <f t="shared" ref="AP45:AP46" si="201">AN45+AO45</f>
        <v>12720</v>
      </c>
      <c r="AQ45" s="6"/>
      <c r="AR45" s="167">
        <f t="shared" ref="AR45:AR46" si="202">AP45+AQ45</f>
        <v>12720</v>
      </c>
      <c r="AS45" s="203">
        <f t="shared" ref="AS45:AS46" si="203">IFERROR((AR45-AL45)/AL45,0)</f>
        <v>3.0376670716889428E-2</v>
      </c>
      <c r="AT45" s="198">
        <f t="shared" ref="AT45:AT46" si="204">T45+Z45+AF45+AL45+AR45</f>
        <v>47910</v>
      </c>
      <c r="AU45" s="199">
        <f t="shared" ref="AU45:AU46" si="205">IFERROR((AR45/T45)^(1/4)-1,0)</f>
        <v>0.44407686448545358</v>
      </c>
    </row>
    <row r="46" spans="2:47" ht="16.5" customHeight="1" outlineLevel="1" x14ac:dyDescent="0.25">
      <c r="B46" s="52" t="s">
        <v>289</v>
      </c>
      <c r="C46" s="64" t="s">
        <v>26</v>
      </c>
      <c r="D46" s="91">
        <v>0</v>
      </c>
      <c r="E46" s="91">
        <v>0</v>
      </c>
      <c r="F46" s="203">
        <f t="shared" si="184"/>
        <v>0</v>
      </c>
      <c r="G46" s="91">
        <v>0</v>
      </c>
      <c r="H46" s="203">
        <f t="shared" si="185"/>
        <v>0</v>
      </c>
      <c r="I46" s="91">
        <v>0</v>
      </c>
      <c r="J46" s="203">
        <f t="shared" si="186"/>
        <v>0</v>
      </c>
      <c r="K46" s="91">
        <v>0</v>
      </c>
      <c r="L46" s="157"/>
      <c r="M46" s="71"/>
      <c r="N46" s="203">
        <f t="shared" si="187"/>
        <v>0</v>
      </c>
      <c r="O46" s="198">
        <f t="shared" si="188"/>
        <v>0</v>
      </c>
      <c r="P46" s="199">
        <f t="shared" si="189"/>
        <v>0</v>
      </c>
      <c r="R46" s="206">
        <f>'Μέση ετήσια κατανάλωση'!F20*'Ενεργοί πελάτες'!Y44</f>
        <v>4110</v>
      </c>
      <c r="S46" s="6"/>
      <c r="T46" s="172">
        <f t="shared" si="190"/>
        <v>4110</v>
      </c>
      <c r="U46" s="228">
        <f t="shared" si="191"/>
        <v>0</v>
      </c>
      <c r="V46" s="206">
        <f>'Μέση ετήσια κατανάλωση'!G20*'Ενεργοί πελάτες'!AA44</f>
        <v>21735</v>
      </c>
      <c r="W46" s="167">
        <f t="shared" si="146"/>
        <v>4110</v>
      </c>
      <c r="X46" s="167">
        <f t="shared" si="192"/>
        <v>25845</v>
      </c>
      <c r="Y46" s="6"/>
      <c r="Z46" s="167">
        <f t="shared" si="193"/>
        <v>25845</v>
      </c>
      <c r="AA46" s="203">
        <f t="shared" si="194"/>
        <v>5.288321167883212</v>
      </c>
      <c r="AB46" s="206">
        <f>'Μέση ετήσια κατανάλωση'!G20*'Ενεργοί πελάτες'!AD44</f>
        <v>15750</v>
      </c>
      <c r="AC46" s="167">
        <f t="shared" si="149"/>
        <v>25845</v>
      </c>
      <c r="AD46" s="167">
        <f t="shared" si="195"/>
        <v>41595</v>
      </c>
      <c r="AE46" s="6"/>
      <c r="AF46" s="167">
        <f t="shared" si="196"/>
        <v>41595</v>
      </c>
      <c r="AG46" s="203">
        <f t="shared" si="197"/>
        <v>0.60940220545560064</v>
      </c>
      <c r="AH46" s="206">
        <f>'Μέση ετήσια κατανάλωση'!G20*'Ενεργοί πελάτες'!AG44</f>
        <v>15750</v>
      </c>
      <c r="AI46" s="167">
        <f t="shared" si="153"/>
        <v>41595</v>
      </c>
      <c r="AJ46" s="167">
        <f t="shared" si="198"/>
        <v>57345</v>
      </c>
      <c r="AK46" s="6"/>
      <c r="AL46" s="167">
        <f t="shared" si="199"/>
        <v>57345</v>
      </c>
      <c r="AM46" s="203">
        <f t="shared" si="200"/>
        <v>0.37865128020194733</v>
      </c>
      <c r="AN46" s="206">
        <f>'Μέση ετήσια κατανάλωση'!G20*'Ενεργοί πελάτες'!AJ44</f>
        <v>7875</v>
      </c>
      <c r="AO46" s="167">
        <f t="shared" si="157"/>
        <v>57345</v>
      </c>
      <c r="AP46" s="167">
        <f t="shared" si="201"/>
        <v>65220</v>
      </c>
      <c r="AQ46" s="6"/>
      <c r="AR46" s="167">
        <f t="shared" si="202"/>
        <v>65220</v>
      </c>
      <c r="AS46" s="203">
        <f t="shared" si="203"/>
        <v>0.1373267067747842</v>
      </c>
      <c r="AT46" s="198">
        <f t="shared" si="204"/>
        <v>194115</v>
      </c>
      <c r="AU46" s="199">
        <f t="shared" si="205"/>
        <v>0.99588145623801028</v>
      </c>
    </row>
    <row r="47" spans="2:47" ht="16.5" customHeight="1" outlineLevel="1" x14ac:dyDescent="0.25">
      <c r="B47" s="52" t="s">
        <v>290</v>
      </c>
      <c r="C47" s="64" t="s">
        <v>26</v>
      </c>
      <c r="D47" s="91">
        <v>0</v>
      </c>
      <c r="E47" s="91">
        <v>0</v>
      </c>
      <c r="F47" s="203">
        <f t="shared" ref="F47" si="206">IFERROR((E47-D47)/D47,0)</f>
        <v>0</v>
      </c>
      <c r="G47" s="91">
        <v>0</v>
      </c>
      <c r="H47" s="203">
        <f t="shared" ref="H47" si="207">IFERROR((G47-E47)/E47,0)</f>
        <v>0</v>
      </c>
      <c r="I47" s="91">
        <v>0</v>
      </c>
      <c r="J47" s="203">
        <f t="shared" ref="J47" si="208">IFERROR((I47-G47)/G47,0)</f>
        <v>0</v>
      </c>
      <c r="K47" s="91">
        <v>0</v>
      </c>
      <c r="L47" s="157"/>
      <c r="M47" s="71"/>
      <c r="N47" s="203">
        <f t="shared" ref="N47" si="209">IFERROR((M47-I47)/I47,0)</f>
        <v>0</v>
      </c>
      <c r="O47" s="198">
        <f t="shared" ref="O47" si="210">D47+E47+G47+I47+M47</f>
        <v>0</v>
      </c>
      <c r="P47" s="199">
        <f t="shared" ref="P47" si="211">IFERROR((M47/D47)^(1/4)-1,0)</f>
        <v>0</v>
      </c>
      <c r="R47" s="206">
        <f>'Μέση ετήσια κατανάλωση'!F21*'Ενεργοί πελάτες'!Y45</f>
        <v>5430</v>
      </c>
      <c r="S47" s="6"/>
      <c r="T47" s="172">
        <f t="shared" ref="T47" si="212">R47+S47</f>
        <v>5430</v>
      </c>
      <c r="U47" s="228">
        <f t="shared" ref="U47" si="213">IFERROR((T47-M47)/M47,0)</f>
        <v>0</v>
      </c>
      <c r="V47" s="206">
        <f>'Μέση ετήσια κατανάλωση'!G21*'Ενεργοί πελάτες'!AA45</f>
        <v>20985</v>
      </c>
      <c r="W47" s="167">
        <f t="shared" si="146"/>
        <v>5430</v>
      </c>
      <c r="X47" s="167">
        <f t="shared" ref="X47" si="214">V47+W47</f>
        <v>26415</v>
      </c>
      <c r="Y47" s="6"/>
      <c r="Z47" s="167">
        <f t="shared" ref="Z47" si="215">X47+Y47</f>
        <v>26415</v>
      </c>
      <c r="AA47" s="203">
        <f t="shared" ref="AA47" si="216">IFERROR((Z47-T47)/T47,0)</f>
        <v>3.8646408839779007</v>
      </c>
      <c r="AB47" s="206">
        <f>'Μέση ετήσια κατανάλωση'!G21*'Ενεργοί πελάτες'!AD45</f>
        <v>18435</v>
      </c>
      <c r="AC47" s="167">
        <f t="shared" si="149"/>
        <v>26415</v>
      </c>
      <c r="AD47" s="167">
        <f t="shared" ref="AD47" si="217">AB47+AC47</f>
        <v>44850</v>
      </c>
      <c r="AE47" s="6"/>
      <c r="AF47" s="167">
        <f t="shared" ref="AF47" si="218">AD47+AE47</f>
        <v>44850</v>
      </c>
      <c r="AG47" s="203">
        <f t="shared" ref="AG47" si="219">IFERROR((AF47-Z47)/Z47,0)</f>
        <v>0.69789892106757523</v>
      </c>
      <c r="AH47" s="206">
        <f>'Μέση ετήσια κατανάλωση'!G21*'Ενεργοί πελάτες'!AG45</f>
        <v>15750</v>
      </c>
      <c r="AI47" s="167">
        <f t="shared" si="153"/>
        <v>44850</v>
      </c>
      <c r="AJ47" s="167">
        <f t="shared" ref="AJ47" si="220">AH47+AI47</f>
        <v>60600</v>
      </c>
      <c r="AK47" s="6"/>
      <c r="AL47" s="167">
        <f t="shared" ref="AL47" si="221">AJ47+AK47</f>
        <v>60600</v>
      </c>
      <c r="AM47" s="203">
        <f t="shared" ref="AM47" si="222">IFERROR((AL47-AF47)/AF47,0)</f>
        <v>0.3511705685618729</v>
      </c>
      <c r="AN47" s="206">
        <f>'Μέση ετήσια κατανάλωση'!G21*'Ενεργοί πελάτες'!AJ45</f>
        <v>7875</v>
      </c>
      <c r="AO47" s="167">
        <f t="shared" si="157"/>
        <v>60600</v>
      </c>
      <c r="AP47" s="167">
        <f t="shared" ref="AP47" si="223">AN47+AO47</f>
        <v>68475</v>
      </c>
      <c r="AQ47" s="6"/>
      <c r="AR47" s="167">
        <f t="shared" ref="AR47" si="224">AP47+AQ47</f>
        <v>68475</v>
      </c>
      <c r="AS47" s="203">
        <f t="shared" ref="AS47" si="225">IFERROR((AR47-AL47)/AL47,0)</f>
        <v>0.12995049504950495</v>
      </c>
      <c r="AT47" s="198">
        <f t="shared" ref="AT47" si="226">T47+Z47+AF47+AL47+AR47</f>
        <v>205770</v>
      </c>
      <c r="AU47" s="199">
        <f t="shared" ref="AU47" si="227">IFERROR((AR47/T47)^(1/4)-1,0)</f>
        <v>0.88444320499540141</v>
      </c>
    </row>
    <row r="48" spans="2:47" ht="16.5" customHeight="1" outlineLevel="1" x14ac:dyDescent="0.25">
      <c r="B48" s="52" t="s">
        <v>291</v>
      </c>
      <c r="C48" s="64" t="s">
        <v>26</v>
      </c>
      <c r="D48" s="91">
        <v>0</v>
      </c>
      <c r="E48" s="91">
        <v>0</v>
      </c>
      <c r="F48" s="203">
        <f t="shared" ref="F48:F54" si="228">IFERROR((E48-D48)/D48,0)</f>
        <v>0</v>
      </c>
      <c r="G48" s="91">
        <v>0</v>
      </c>
      <c r="H48" s="203">
        <f t="shared" ref="H48:H54" si="229">IFERROR((G48-E48)/E48,0)</f>
        <v>0</v>
      </c>
      <c r="I48" s="91">
        <v>0</v>
      </c>
      <c r="J48" s="203">
        <f t="shared" ref="J48:J54" si="230">IFERROR((I48-G48)/G48,0)</f>
        <v>0</v>
      </c>
      <c r="K48" s="91">
        <v>510</v>
      </c>
      <c r="L48" s="157"/>
      <c r="M48" s="71"/>
      <c r="N48" s="203">
        <f t="shared" ref="N48:N54" si="231">IFERROR((M48-I48)/I48,0)</f>
        <v>0</v>
      </c>
      <c r="O48" s="198">
        <f t="shared" ref="O48" si="232">D48+E48+G48+I48+M48</f>
        <v>0</v>
      </c>
      <c r="P48" s="199">
        <f t="shared" ref="P48:P54" si="233">IFERROR((M48/D48)^(1/4)-1,0)</f>
        <v>0</v>
      </c>
      <c r="R48" s="206">
        <f>'Μέση ετήσια κατανάλωση'!F22*'Ενεργοί πελάτες'!Y46</f>
        <v>19575</v>
      </c>
      <c r="S48" s="6"/>
      <c r="T48" s="172">
        <f t="shared" ref="T48:T51" si="234">R48+S48</f>
        <v>19575</v>
      </c>
      <c r="U48" s="228">
        <f t="shared" ref="U48:U54" si="235">IFERROR((T48-M48)/M48,0)</f>
        <v>0</v>
      </c>
      <c r="V48" s="206">
        <f>'Μέση ετήσια κατανάλωση'!G22*'Ενεργοί πελάτες'!AA46</f>
        <v>1665</v>
      </c>
      <c r="W48" s="167">
        <f t="shared" si="146"/>
        <v>19575</v>
      </c>
      <c r="X48" s="167">
        <f t="shared" ref="X48:X51" si="236">V48+W48</f>
        <v>21240</v>
      </c>
      <c r="Y48" s="6"/>
      <c r="Z48" s="167">
        <f t="shared" ref="Z48:Z51" si="237">X48+Y48</f>
        <v>21240</v>
      </c>
      <c r="AA48" s="203">
        <f t="shared" ref="AA48:AA54" si="238">IFERROR((Z48-T48)/T48,0)</f>
        <v>8.5057471264367815E-2</v>
      </c>
      <c r="AB48" s="206">
        <f>'Μέση ετήσια κατανάλωση'!G22*'Ενεργοί πελάτες'!AD46</f>
        <v>375</v>
      </c>
      <c r="AC48" s="167">
        <f t="shared" si="149"/>
        <v>21240</v>
      </c>
      <c r="AD48" s="167">
        <f t="shared" ref="AD48:AD51" si="239">AB48+AC48</f>
        <v>21615</v>
      </c>
      <c r="AE48" s="6"/>
      <c r="AF48" s="167">
        <f t="shared" ref="AF48:AF51" si="240">AD48+AE48</f>
        <v>21615</v>
      </c>
      <c r="AG48" s="203">
        <f t="shared" ref="AG48:AG54" si="241">IFERROR((AF48-Z48)/Z48,0)</f>
        <v>1.7655367231638418E-2</v>
      </c>
      <c r="AH48" s="206">
        <f>'Μέση ετήσια κατανάλωση'!G22*'Ενεργοί πελάτες'!AG46</f>
        <v>375</v>
      </c>
      <c r="AI48" s="167">
        <f t="shared" si="153"/>
        <v>21615</v>
      </c>
      <c r="AJ48" s="167">
        <f t="shared" ref="AJ48:AJ51" si="242">AH48+AI48</f>
        <v>21990</v>
      </c>
      <c r="AK48" s="6"/>
      <c r="AL48" s="167">
        <f t="shared" ref="AL48:AL51" si="243">AJ48+AK48</f>
        <v>21990</v>
      </c>
      <c r="AM48" s="203">
        <f t="shared" ref="AM48:AM54" si="244">IFERROR((AL48-AF48)/AF48,0)</f>
        <v>1.7349063150589868E-2</v>
      </c>
      <c r="AN48" s="206">
        <f>'Μέση ετήσια κατανάλωση'!G22*'Ενεργοί πελάτες'!AJ46</f>
        <v>255</v>
      </c>
      <c r="AO48" s="167">
        <f t="shared" si="157"/>
        <v>21990</v>
      </c>
      <c r="AP48" s="167">
        <f t="shared" ref="AP48:AP51" si="245">AN48+AO48</f>
        <v>22245</v>
      </c>
      <c r="AQ48" s="6"/>
      <c r="AR48" s="167">
        <f t="shared" ref="AR48:AR51" si="246">AP48+AQ48</f>
        <v>22245</v>
      </c>
      <c r="AS48" s="203">
        <f t="shared" ref="AS48:AS54" si="247">IFERROR((AR48-AL48)/AL48,0)</f>
        <v>1.1596180081855388E-2</v>
      </c>
      <c r="AT48" s="198">
        <f t="shared" ref="AT48:AT51" si="248">T48+Z48+AF48+AL48+AR48</f>
        <v>106665</v>
      </c>
      <c r="AU48" s="199">
        <f t="shared" ref="AU48:AU54" si="249">IFERROR((AR48/T48)^(1/4)-1,0)</f>
        <v>3.2482406083759185E-2</v>
      </c>
    </row>
    <row r="49" spans="2:47" ht="16.5" customHeight="1" outlineLevel="1" x14ac:dyDescent="0.25">
      <c r="B49" s="52" t="s">
        <v>307</v>
      </c>
      <c r="C49" s="64" t="s">
        <v>26</v>
      </c>
      <c r="D49" s="91"/>
      <c r="E49" s="91"/>
      <c r="F49" s="203">
        <f t="shared" si="228"/>
        <v>0</v>
      </c>
      <c r="G49" s="91"/>
      <c r="H49" s="203">
        <f t="shared" si="229"/>
        <v>0</v>
      </c>
      <c r="I49" s="91"/>
      <c r="J49" s="203">
        <f t="shared" si="230"/>
        <v>0</v>
      </c>
      <c r="K49" s="91"/>
      <c r="L49" s="157"/>
      <c r="M49" s="71"/>
      <c r="N49" s="203">
        <f t="shared" si="231"/>
        <v>0</v>
      </c>
      <c r="O49" s="198"/>
      <c r="P49" s="199">
        <f t="shared" si="233"/>
        <v>0</v>
      </c>
      <c r="R49" s="206">
        <f>'Μέση ετήσια κατανάλωση'!F23*'Ενεργοί πελάτες'!Y47</f>
        <v>825</v>
      </c>
      <c r="S49" s="6"/>
      <c r="T49" s="172">
        <f t="shared" si="234"/>
        <v>825</v>
      </c>
      <c r="U49" s="228">
        <f t="shared" si="235"/>
        <v>0</v>
      </c>
      <c r="V49" s="206">
        <f>'Μέση ετήσια κατανάλωση'!G23*'Ενεργοί πελάτες'!AA47</f>
        <v>1275</v>
      </c>
      <c r="W49" s="167">
        <f t="shared" ref="W49:W53" si="250">R49</f>
        <v>825</v>
      </c>
      <c r="X49" s="167">
        <f t="shared" si="236"/>
        <v>2100</v>
      </c>
      <c r="Y49" s="6"/>
      <c r="Z49" s="167">
        <f t="shared" si="237"/>
        <v>2100</v>
      </c>
      <c r="AA49" s="203">
        <f t="shared" si="238"/>
        <v>1.5454545454545454</v>
      </c>
      <c r="AB49" s="206">
        <f>'Μέση ετήσια κατανάλωση'!G23*'Ενεργοί πελάτες'!AD47</f>
        <v>1350</v>
      </c>
      <c r="AC49" s="167">
        <f t="shared" ref="AC49:AC53" si="251">X49</f>
        <v>2100</v>
      </c>
      <c r="AD49" s="167">
        <f t="shared" si="239"/>
        <v>3450</v>
      </c>
      <c r="AE49" s="6"/>
      <c r="AF49" s="167">
        <f t="shared" si="240"/>
        <v>3450</v>
      </c>
      <c r="AG49" s="203">
        <f t="shared" si="241"/>
        <v>0.6428571428571429</v>
      </c>
      <c r="AH49" s="206">
        <f>'Μέση ετήσια κατανάλωση'!G23*'Ενεργοί πελάτες'!AG47</f>
        <v>825</v>
      </c>
      <c r="AI49" s="167">
        <f t="shared" ref="AI49:AI53" si="252">AD49</f>
        <v>3450</v>
      </c>
      <c r="AJ49" s="167">
        <f t="shared" si="242"/>
        <v>4275</v>
      </c>
      <c r="AK49" s="6"/>
      <c r="AL49" s="167">
        <f t="shared" si="243"/>
        <v>4275</v>
      </c>
      <c r="AM49" s="203">
        <f t="shared" si="244"/>
        <v>0.2391304347826087</v>
      </c>
      <c r="AN49" s="206">
        <f>'Μέση ετήσια κατανάλωση'!G23*'Ενεργοί πελάτες'!AJ47</f>
        <v>675</v>
      </c>
      <c r="AO49" s="167">
        <f t="shared" ref="AO49:AO53" si="253">AJ49</f>
        <v>4275</v>
      </c>
      <c r="AP49" s="167">
        <f t="shared" si="245"/>
        <v>4950</v>
      </c>
      <c r="AQ49" s="6"/>
      <c r="AR49" s="167">
        <f t="shared" si="246"/>
        <v>4950</v>
      </c>
      <c r="AS49" s="203">
        <f t="shared" si="247"/>
        <v>0.15789473684210525</v>
      </c>
      <c r="AT49" s="198">
        <f t="shared" si="248"/>
        <v>15600</v>
      </c>
      <c r="AU49" s="199">
        <f t="shared" si="249"/>
        <v>0.56508458007328732</v>
      </c>
    </row>
    <row r="50" spans="2:47" ht="16.5" customHeight="1" outlineLevel="1" x14ac:dyDescent="0.25">
      <c r="B50" s="52" t="s">
        <v>304</v>
      </c>
      <c r="C50" s="64" t="s">
        <v>26</v>
      </c>
      <c r="D50" s="91"/>
      <c r="E50" s="91"/>
      <c r="F50" s="203">
        <f t="shared" si="228"/>
        <v>0</v>
      </c>
      <c r="G50" s="91"/>
      <c r="H50" s="203">
        <f t="shared" si="229"/>
        <v>0</v>
      </c>
      <c r="I50" s="91"/>
      <c r="J50" s="203">
        <f t="shared" si="230"/>
        <v>0</v>
      </c>
      <c r="K50" s="91"/>
      <c r="L50" s="157"/>
      <c r="M50" s="71"/>
      <c r="N50" s="203">
        <f t="shared" si="231"/>
        <v>0</v>
      </c>
      <c r="O50" s="198"/>
      <c r="P50" s="199">
        <f t="shared" si="233"/>
        <v>0</v>
      </c>
      <c r="R50" s="206">
        <f>'Μέση ετήσια κατανάλωση'!F24*'Ενεργοί πελάτες'!Y48</f>
        <v>825</v>
      </c>
      <c r="S50" s="6"/>
      <c r="T50" s="172">
        <f t="shared" si="234"/>
        <v>825</v>
      </c>
      <c r="U50" s="228">
        <f t="shared" si="235"/>
        <v>0</v>
      </c>
      <c r="V50" s="206">
        <f>'Μέση ετήσια κατανάλωση'!G24*'Ενεργοί πελάτες'!AA48</f>
        <v>1275</v>
      </c>
      <c r="W50" s="167">
        <f t="shared" si="250"/>
        <v>825</v>
      </c>
      <c r="X50" s="167">
        <f t="shared" si="236"/>
        <v>2100</v>
      </c>
      <c r="Y50" s="6"/>
      <c r="Z50" s="167">
        <f t="shared" si="237"/>
        <v>2100</v>
      </c>
      <c r="AA50" s="203">
        <f t="shared" si="238"/>
        <v>1.5454545454545454</v>
      </c>
      <c r="AB50" s="206">
        <f>'Μέση ετήσια κατανάλωση'!G24*'Ενεργοί πελάτες'!AD48</f>
        <v>2100</v>
      </c>
      <c r="AC50" s="167">
        <f t="shared" si="251"/>
        <v>2100</v>
      </c>
      <c r="AD50" s="167">
        <f t="shared" si="239"/>
        <v>4200</v>
      </c>
      <c r="AE50" s="6"/>
      <c r="AF50" s="167">
        <f t="shared" si="240"/>
        <v>4200</v>
      </c>
      <c r="AG50" s="203">
        <f t="shared" si="241"/>
        <v>1</v>
      </c>
      <c r="AH50" s="206">
        <f>'Μέση ετήσια κατανάλωση'!G24*'Ενεργοί πελάτες'!AG48</f>
        <v>975</v>
      </c>
      <c r="AI50" s="167">
        <f t="shared" si="252"/>
        <v>4200</v>
      </c>
      <c r="AJ50" s="167">
        <f t="shared" si="242"/>
        <v>5175</v>
      </c>
      <c r="AK50" s="6"/>
      <c r="AL50" s="167">
        <f t="shared" si="243"/>
        <v>5175</v>
      </c>
      <c r="AM50" s="203">
        <f t="shared" si="244"/>
        <v>0.23214285714285715</v>
      </c>
      <c r="AN50" s="206">
        <f>'Μέση ετήσια κατανάλωση'!G24*'Ενεργοί πελάτες'!AJ48</f>
        <v>675</v>
      </c>
      <c r="AO50" s="167">
        <f t="shared" si="253"/>
        <v>5175</v>
      </c>
      <c r="AP50" s="167">
        <f t="shared" si="245"/>
        <v>5850</v>
      </c>
      <c r="AQ50" s="6"/>
      <c r="AR50" s="167">
        <f t="shared" si="246"/>
        <v>5850</v>
      </c>
      <c r="AS50" s="203">
        <f t="shared" si="247"/>
        <v>0.13043478260869565</v>
      </c>
      <c r="AT50" s="198">
        <f t="shared" si="248"/>
        <v>18150</v>
      </c>
      <c r="AU50" s="199">
        <f t="shared" si="249"/>
        <v>0.63183212794569754</v>
      </c>
    </row>
    <row r="51" spans="2:47" ht="16.5" customHeight="1" outlineLevel="1" x14ac:dyDescent="0.25">
      <c r="B51" s="52" t="s">
        <v>305</v>
      </c>
      <c r="C51" s="64" t="s">
        <v>26</v>
      </c>
      <c r="D51" s="91"/>
      <c r="E51" s="91"/>
      <c r="F51" s="203">
        <f t="shared" si="228"/>
        <v>0</v>
      </c>
      <c r="G51" s="91"/>
      <c r="H51" s="203">
        <f t="shared" si="229"/>
        <v>0</v>
      </c>
      <c r="I51" s="91"/>
      <c r="J51" s="203">
        <f t="shared" si="230"/>
        <v>0</v>
      </c>
      <c r="K51" s="91"/>
      <c r="L51" s="157"/>
      <c r="M51" s="71"/>
      <c r="N51" s="203">
        <f t="shared" si="231"/>
        <v>0</v>
      </c>
      <c r="O51" s="198"/>
      <c r="P51" s="199">
        <f t="shared" si="233"/>
        <v>0</v>
      </c>
      <c r="R51" s="206">
        <f>'Μέση ετήσια κατανάλωση'!F25*'Ενεργοί πελάτες'!Y49</f>
        <v>825</v>
      </c>
      <c r="S51" s="6"/>
      <c r="T51" s="172">
        <f t="shared" si="234"/>
        <v>825</v>
      </c>
      <c r="U51" s="228">
        <f t="shared" si="235"/>
        <v>0</v>
      </c>
      <c r="V51" s="206">
        <f>'Μέση ετήσια κατανάλωση'!G25*'Ενεργοί πελάτες'!AA49</f>
        <v>1275</v>
      </c>
      <c r="W51" s="167">
        <f t="shared" si="250"/>
        <v>825</v>
      </c>
      <c r="X51" s="167">
        <f t="shared" si="236"/>
        <v>2100</v>
      </c>
      <c r="Y51" s="6"/>
      <c r="Z51" s="167">
        <f t="shared" si="237"/>
        <v>2100</v>
      </c>
      <c r="AA51" s="203">
        <f t="shared" si="238"/>
        <v>1.5454545454545454</v>
      </c>
      <c r="AB51" s="206">
        <f>'Μέση ετήσια κατανάλωση'!G25*'Ενεργοί πελάτες'!AD49</f>
        <v>1800</v>
      </c>
      <c r="AC51" s="167">
        <f t="shared" si="251"/>
        <v>2100</v>
      </c>
      <c r="AD51" s="167">
        <f t="shared" si="239"/>
        <v>3900</v>
      </c>
      <c r="AE51" s="6"/>
      <c r="AF51" s="167">
        <f t="shared" si="240"/>
        <v>3900</v>
      </c>
      <c r="AG51" s="203">
        <f t="shared" si="241"/>
        <v>0.8571428571428571</v>
      </c>
      <c r="AH51" s="206">
        <f>'Μέση ετήσια κατανάλωση'!G25*'Ενεργοί πελάτες'!AG49</f>
        <v>825</v>
      </c>
      <c r="AI51" s="167">
        <f t="shared" si="252"/>
        <v>3900</v>
      </c>
      <c r="AJ51" s="167">
        <f t="shared" si="242"/>
        <v>4725</v>
      </c>
      <c r="AK51" s="6"/>
      <c r="AL51" s="167">
        <f t="shared" si="243"/>
        <v>4725</v>
      </c>
      <c r="AM51" s="203">
        <f t="shared" si="244"/>
        <v>0.21153846153846154</v>
      </c>
      <c r="AN51" s="206">
        <f>'Μέση ετήσια κατανάλωση'!G25*'Ενεργοί πελάτες'!AJ49</f>
        <v>675</v>
      </c>
      <c r="AO51" s="167">
        <f t="shared" si="253"/>
        <v>4725</v>
      </c>
      <c r="AP51" s="167">
        <f t="shared" si="245"/>
        <v>5400</v>
      </c>
      <c r="AQ51" s="6"/>
      <c r="AR51" s="167">
        <f t="shared" si="246"/>
        <v>5400</v>
      </c>
      <c r="AS51" s="203">
        <f t="shared" si="247"/>
        <v>0.14285714285714285</v>
      </c>
      <c r="AT51" s="198">
        <f t="shared" si="248"/>
        <v>16950</v>
      </c>
      <c r="AU51" s="199">
        <f t="shared" si="249"/>
        <v>0.59950260902173125</v>
      </c>
    </row>
    <row r="52" spans="2:47" ht="16.5" customHeight="1" outlineLevel="1" x14ac:dyDescent="0.25">
      <c r="B52" s="52" t="s">
        <v>306</v>
      </c>
      <c r="C52" s="64" t="s">
        <v>26</v>
      </c>
      <c r="D52" s="91"/>
      <c r="E52" s="91"/>
      <c r="F52" s="203">
        <f t="shared" si="228"/>
        <v>0</v>
      </c>
      <c r="G52" s="91"/>
      <c r="H52" s="203">
        <f t="shared" si="229"/>
        <v>0</v>
      </c>
      <c r="I52" s="91"/>
      <c r="J52" s="203">
        <f t="shared" si="230"/>
        <v>0</v>
      </c>
      <c r="K52" s="91"/>
      <c r="L52" s="157"/>
      <c r="M52" s="71"/>
      <c r="N52" s="203">
        <f t="shared" si="231"/>
        <v>0</v>
      </c>
      <c r="O52" s="198"/>
      <c r="P52" s="199">
        <f t="shared" si="233"/>
        <v>0</v>
      </c>
      <c r="R52" s="206">
        <f>'Μέση ετήσια κατανάλωση'!F26*'Ενεργοί πελάτες'!Y50</f>
        <v>1590</v>
      </c>
      <c r="S52" s="6"/>
      <c r="T52" s="172">
        <f t="shared" ref="T52:T53" si="254">R52+S52</f>
        <v>1590</v>
      </c>
      <c r="U52" s="228">
        <f t="shared" ref="U52:U53" si="255">IFERROR((T52-M52)/M52,0)</f>
        <v>0</v>
      </c>
      <c r="V52" s="206">
        <f>'Μέση ετήσια κατανάλωση'!G26*'Ενεργοί πελάτες'!AA50</f>
        <v>1860</v>
      </c>
      <c r="W52" s="167">
        <f t="shared" si="250"/>
        <v>1590</v>
      </c>
      <c r="X52" s="167">
        <f t="shared" ref="X52:X53" si="256">V52+W52</f>
        <v>3450</v>
      </c>
      <c r="Y52" s="6"/>
      <c r="Z52" s="167">
        <f t="shared" ref="Z52:Z53" si="257">X52+Y52</f>
        <v>3450</v>
      </c>
      <c r="AA52" s="203">
        <f t="shared" ref="AA52:AA53" si="258">IFERROR((Z52-T52)/T52,0)</f>
        <v>1.1698113207547169</v>
      </c>
      <c r="AB52" s="206">
        <f>'Μέση ετήσια κατανάλωση'!G26*'Ενεργοί πελάτες'!AD50</f>
        <v>2430</v>
      </c>
      <c r="AC52" s="167">
        <f t="shared" si="251"/>
        <v>3450</v>
      </c>
      <c r="AD52" s="167">
        <f t="shared" ref="AD52:AD53" si="259">AB52+AC52</f>
        <v>5880</v>
      </c>
      <c r="AE52" s="6"/>
      <c r="AF52" s="167">
        <f t="shared" ref="AF52:AF53" si="260">AD52+AE52</f>
        <v>5880</v>
      </c>
      <c r="AG52" s="203">
        <f t="shared" ref="AG52:AG53" si="261">IFERROR((AF52-Z52)/Z52,0)</f>
        <v>0.70434782608695656</v>
      </c>
      <c r="AH52" s="206">
        <f>'Μέση ετήσια κατανάλωση'!G26*'Ενεργοί πελάτες'!AG50</f>
        <v>2385</v>
      </c>
      <c r="AI52" s="167">
        <f t="shared" si="252"/>
        <v>5880</v>
      </c>
      <c r="AJ52" s="167">
        <f t="shared" ref="AJ52:AJ53" si="262">AH52+AI52</f>
        <v>8265</v>
      </c>
      <c r="AK52" s="6"/>
      <c r="AL52" s="167">
        <f t="shared" ref="AL52:AL53" si="263">AJ52+AK52</f>
        <v>8265</v>
      </c>
      <c r="AM52" s="203">
        <f t="shared" ref="AM52:AM53" si="264">IFERROR((AL52-AF52)/AF52,0)</f>
        <v>0.40561224489795916</v>
      </c>
      <c r="AN52" s="206">
        <f>'Μέση ετήσια κατανάλωση'!G26*'Ενεργοί πελάτες'!AJ50</f>
        <v>1500</v>
      </c>
      <c r="AO52" s="167">
        <f t="shared" si="253"/>
        <v>8265</v>
      </c>
      <c r="AP52" s="167">
        <f t="shared" ref="AP52:AP53" si="265">AN52+AO52</f>
        <v>9765</v>
      </c>
      <c r="AQ52" s="6"/>
      <c r="AR52" s="167">
        <f t="shared" ref="AR52:AR53" si="266">AP52+AQ52</f>
        <v>9765</v>
      </c>
      <c r="AS52" s="203">
        <f t="shared" ref="AS52:AS53" si="267">IFERROR((AR52-AL52)/AL52,0)</f>
        <v>0.18148820326678766</v>
      </c>
      <c r="AT52" s="198">
        <f t="shared" ref="AT52:AT53" si="268">T52+Z52+AF52+AL52+AR52</f>
        <v>28950</v>
      </c>
      <c r="AU52" s="199">
        <f t="shared" ref="AU52:AU53" si="269">IFERROR((AR52/T52)^(1/4)-1,0)</f>
        <v>0.57423216170350977</v>
      </c>
    </row>
    <row r="53" spans="2:47" ht="16.5" customHeight="1" outlineLevel="1" x14ac:dyDescent="0.25">
      <c r="B53" s="52" t="s">
        <v>308</v>
      </c>
      <c r="C53" s="64" t="s">
        <v>26</v>
      </c>
      <c r="D53" s="91"/>
      <c r="E53" s="91"/>
      <c r="F53" s="203">
        <f t="shared" si="228"/>
        <v>0</v>
      </c>
      <c r="G53" s="91"/>
      <c r="H53" s="203">
        <f t="shared" si="229"/>
        <v>0</v>
      </c>
      <c r="I53" s="91"/>
      <c r="J53" s="203">
        <f t="shared" si="230"/>
        <v>0</v>
      </c>
      <c r="K53" s="91"/>
      <c r="L53" s="157"/>
      <c r="M53" s="71"/>
      <c r="N53" s="203">
        <f t="shared" si="231"/>
        <v>0</v>
      </c>
      <c r="O53" s="198"/>
      <c r="P53" s="199">
        <f t="shared" si="233"/>
        <v>0</v>
      </c>
      <c r="R53" s="206">
        <f>'Μέση ετήσια κατανάλωση'!F27*'Ενεργοί πελάτες'!Y51</f>
        <v>1275</v>
      </c>
      <c r="S53" s="6"/>
      <c r="T53" s="172">
        <f t="shared" si="254"/>
        <v>1275</v>
      </c>
      <c r="U53" s="228">
        <f t="shared" si="255"/>
        <v>0</v>
      </c>
      <c r="V53" s="206">
        <f>'Μέση ετήσια κατανάλωση'!G27*'Ενεργοί πελάτες'!AA51</f>
        <v>1500</v>
      </c>
      <c r="W53" s="167">
        <f t="shared" si="250"/>
        <v>1275</v>
      </c>
      <c r="X53" s="167">
        <f t="shared" si="256"/>
        <v>2775</v>
      </c>
      <c r="Y53" s="6"/>
      <c r="Z53" s="167">
        <f t="shared" si="257"/>
        <v>2775</v>
      </c>
      <c r="AA53" s="203">
        <f t="shared" si="258"/>
        <v>1.1764705882352942</v>
      </c>
      <c r="AB53" s="206">
        <f>'Μέση ετήσια κατανάλωση'!G27*'Ενεργοί πελάτες'!AD51</f>
        <v>1830</v>
      </c>
      <c r="AC53" s="167">
        <f t="shared" si="251"/>
        <v>2775</v>
      </c>
      <c r="AD53" s="167">
        <f t="shared" si="259"/>
        <v>4605</v>
      </c>
      <c r="AE53" s="6"/>
      <c r="AF53" s="167">
        <f t="shared" si="260"/>
        <v>4605</v>
      </c>
      <c r="AG53" s="203">
        <f t="shared" si="261"/>
        <v>0.6594594594594595</v>
      </c>
      <c r="AH53" s="206">
        <f>'Μέση ετήσια κατανάλωση'!G27*'Ενεργοί πελάτες'!AG51</f>
        <v>1500</v>
      </c>
      <c r="AI53" s="167">
        <f t="shared" si="252"/>
        <v>4605</v>
      </c>
      <c r="AJ53" s="167">
        <f t="shared" si="262"/>
        <v>6105</v>
      </c>
      <c r="AK53" s="6"/>
      <c r="AL53" s="167">
        <f t="shared" si="263"/>
        <v>6105</v>
      </c>
      <c r="AM53" s="203">
        <f t="shared" si="264"/>
        <v>0.32573289902280128</v>
      </c>
      <c r="AN53" s="206">
        <f>'Μέση ετήσια κατανάλωση'!G27*'Ενεργοί πελάτες'!AJ51</f>
        <v>1500</v>
      </c>
      <c r="AO53" s="167">
        <f t="shared" si="253"/>
        <v>6105</v>
      </c>
      <c r="AP53" s="167">
        <f t="shared" si="265"/>
        <v>7605</v>
      </c>
      <c r="AQ53" s="6"/>
      <c r="AR53" s="167">
        <f t="shared" si="266"/>
        <v>7605</v>
      </c>
      <c r="AS53" s="203">
        <f t="shared" si="267"/>
        <v>0.24570024570024571</v>
      </c>
      <c r="AT53" s="198">
        <f t="shared" si="268"/>
        <v>22365</v>
      </c>
      <c r="AU53" s="199">
        <f t="shared" si="269"/>
        <v>0.56277789056285377</v>
      </c>
    </row>
    <row r="54" spans="2:47" ht="16.5" customHeight="1" outlineLevel="1" x14ac:dyDescent="0.25">
      <c r="B54" s="52"/>
      <c r="C54" s="64"/>
      <c r="D54" s="91"/>
      <c r="E54" s="91"/>
      <c r="F54" s="203">
        <f t="shared" si="228"/>
        <v>0</v>
      </c>
      <c r="G54" s="91"/>
      <c r="H54" s="203">
        <f t="shared" si="229"/>
        <v>0</v>
      </c>
      <c r="I54" s="91"/>
      <c r="J54" s="203">
        <f t="shared" si="230"/>
        <v>0</v>
      </c>
      <c r="K54" s="91"/>
      <c r="L54" s="157"/>
      <c r="M54" s="71"/>
      <c r="N54" s="203">
        <f t="shared" si="231"/>
        <v>0</v>
      </c>
      <c r="O54" s="198"/>
      <c r="P54" s="199">
        <f t="shared" si="233"/>
        <v>0</v>
      </c>
      <c r="R54" s="206"/>
      <c r="S54" s="6"/>
      <c r="T54" s="172"/>
      <c r="U54" s="228">
        <f t="shared" si="235"/>
        <v>0</v>
      </c>
      <c r="V54" s="206"/>
      <c r="W54" s="167"/>
      <c r="X54" s="167"/>
      <c r="Y54" s="6"/>
      <c r="Z54" s="167"/>
      <c r="AA54" s="203">
        <f t="shared" si="238"/>
        <v>0</v>
      </c>
      <c r="AB54" s="206"/>
      <c r="AC54" s="167"/>
      <c r="AD54" s="167"/>
      <c r="AE54" s="6"/>
      <c r="AF54" s="167"/>
      <c r="AG54" s="203">
        <f t="shared" si="241"/>
        <v>0</v>
      </c>
      <c r="AH54" s="206"/>
      <c r="AI54" s="167"/>
      <c r="AJ54" s="167"/>
      <c r="AK54" s="6"/>
      <c r="AL54" s="167"/>
      <c r="AM54" s="203">
        <f t="shared" si="244"/>
        <v>0</v>
      </c>
      <c r="AN54" s="206"/>
      <c r="AO54" s="167"/>
      <c r="AP54" s="167"/>
      <c r="AQ54" s="6"/>
      <c r="AR54" s="167"/>
      <c r="AS54" s="203">
        <f t="shared" si="247"/>
        <v>0</v>
      </c>
      <c r="AT54" s="198"/>
      <c r="AU54" s="199">
        <f t="shared" si="249"/>
        <v>0</v>
      </c>
    </row>
    <row r="55" spans="2:47" ht="15" customHeight="1" outlineLevel="1" x14ac:dyDescent="0.25">
      <c r="B55" s="349" t="s">
        <v>90</v>
      </c>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97"/>
    </row>
    <row r="56" spans="2:47" ht="15" customHeight="1" outlineLevel="1" x14ac:dyDescent="0.25">
      <c r="B56" s="52" t="s">
        <v>82</v>
      </c>
      <c r="C56" s="49" t="s">
        <v>26</v>
      </c>
      <c r="D56" s="231">
        <f>SUM(D40:D54)</f>
        <v>0</v>
      </c>
      <c r="E56" s="207">
        <f>SUM(E40:E54)</f>
        <v>0</v>
      </c>
      <c r="F56" s="202">
        <f>IFERROR((E56-D56)/D56,0)</f>
        <v>0</v>
      </c>
      <c r="G56" s="207">
        <f>SUM(G40:G54)</f>
        <v>0</v>
      </c>
      <c r="H56" s="202">
        <f t="shared" si="144"/>
        <v>0</v>
      </c>
      <c r="I56" s="207">
        <f>SUM(I40:I54)</f>
        <v>41</v>
      </c>
      <c r="J56" s="202">
        <f t="shared" si="144"/>
        <v>0</v>
      </c>
      <c r="K56" s="207">
        <f>SUM(K40:K54)</f>
        <v>840</v>
      </c>
      <c r="L56" s="159"/>
      <c r="M56" s="207">
        <f>SUM(M40:M54)</f>
        <v>0</v>
      </c>
      <c r="N56" s="202">
        <f>IFERROR((M56-I56)/I56,0)</f>
        <v>-1</v>
      </c>
      <c r="O56" s="218">
        <f>SUM(O40:O54)</f>
        <v>41</v>
      </c>
      <c r="P56" s="199">
        <f>IFERROR((M56/D56)^(1/4)-1,0)</f>
        <v>0</v>
      </c>
      <c r="R56" s="207">
        <f>SUM(R40:R54)</f>
        <v>49810</v>
      </c>
      <c r="S56" s="187">
        <f>SUM(S40:S54)</f>
        <v>0</v>
      </c>
      <c r="T56" s="187">
        <f>SUM(T40:T54)</f>
        <v>49810</v>
      </c>
      <c r="U56" s="202">
        <f>IFERROR((T56-M56)/M56,0)</f>
        <v>0</v>
      </c>
      <c r="V56" s="207">
        <f>SUM(V40:V54)</f>
        <v>97370</v>
      </c>
      <c r="W56" s="172">
        <f>SUM(W40:W54)</f>
        <v>49810</v>
      </c>
      <c r="X56" s="172">
        <f>SUM(X40:X54)</f>
        <v>147180</v>
      </c>
      <c r="Y56" s="172">
        <f>SUM(Y40:Y54)</f>
        <v>0</v>
      </c>
      <c r="Z56" s="172">
        <f>SUM(Z40:Z54)</f>
        <v>147180</v>
      </c>
      <c r="AA56" s="202">
        <f>IFERROR((Z56-T56)/T56,0)</f>
        <v>1.9548283477213411</v>
      </c>
      <c r="AB56" s="207">
        <f>SUM(AB40:AB54)</f>
        <v>80235</v>
      </c>
      <c r="AC56" s="172">
        <f>SUM(AC40:AC54)</f>
        <v>147180</v>
      </c>
      <c r="AD56" s="172">
        <f>SUM(AD40:AD54)</f>
        <v>227415</v>
      </c>
      <c r="AE56" s="172">
        <f>SUM(AE40:AE54)</f>
        <v>0</v>
      </c>
      <c r="AF56" s="172">
        <f>SUM(AF40:AF54)</f>
        <v>227415</v>
      </c>
      <c r="AG56" s="202">
        <f t="shared" si="152"/>
        <v>0.5451487973909499</v>
      </c>
      <c r="AH56" s="207">
        <f>SUM(AH40:AH54)</f>
        <v>56310</v>
      </c>
      <c r="AI56" s="172">
        <f>SUM(AI40:AI54)</f>
        <v>227415</v>
      </c>
      <c r="AJ56" s="172">
        <f>SUM(AJ40:AJ54)</f>
        <v>283725</v>
      </c>
      <c r="AK56" s="172">
        <f>SUM(AK40:AK54)</f>
        <v>0</v>
      </c>
      <c r="AL56" s="172">
        <f>SUM(AL40:AL54)</f>
        <v>283725</v>
      </c>
      <c r="AM56" s="202">
        <f t="shared" si="156"/>
        <v>0.24760899676802323</v>
      </c>
      <c r="AN56" s="207">
        <f>SUM(AN40:AN54)</f>
        <v>29725</v>
      </c>
      <c r="AO56" s="172">
        <f>SUM(AO40:AO54)</f>
        <v>283725</v>
      </c>
      <c r="AP56" s="172">
        <f>SUM(AP40:AP54)</f>
        <v>313450</v>
      </c>
      <c r="AQ56" s="172">
        <f>SUM(AQ40:AQ54)</f>
        <v>0</v>
      </c>
      <c r="AR56" s="172">
        <f>SUM(AR40:AR54)</f>
        <v>313450</v>
      </c>
      <c r="AS56" s="202">
        <f>IFERROR((AR56-AL56)/AL56,0)</f>
        <v>0.10476693981848621</v>
      </c>
      <c r="AT56" s="218">
        <f>SUM(AT40:AT54)</f>
        <v>1021580</v>
      </c>
      <c r="AU56" s="199">
        <f>IFERROR((AR56/T56)^(1/4)-1,0)</f>
        <v>0.58384593065141699</v>
      </c>
    </row>
    <row r="57" spans="2:47" ht="15" customHeight="1" x14ac:dyDescent="0.25"/>
    <row r="58" spans="2:47" ht="15.75" x14ac:dyDescent="0.25">
      <c r="B58" s="352" t="s">
        <v>205</v>
      </c>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row>
    <row r="59" spans="2:47" ht="5.45" customHeight="1" outlineLevel="1" x14ac:dyDescent="0.2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row>
    <row r="60" spans="2:47" outlineLevel="1" x14ac:dyDescent="0.25">
      <c r="B60" s="393"/>
      <c r="C60" s="396" t="s">
        <v>20</v>
      </c>
      <c r="D60" s="372" t="s">
        <v>262</v>
      </c>
      <c r="E60" s="373"/>
      <c r="F60" s="373"/>
      <c r="G60" s="373"/>
      <c r="H60" s="373"/>
      <c r="I60" s="373"/>
      <c r="J60" s="373"/>
      <c r="K60" s="373"/>
      <c r="L60" s="374"/>
      <c r="M60" s="372" t="s">
        <v>260</v>
      </c>
      <c r="N60" s="374"/>
      <c r="O60" s="388" t="str">
        <f xml:space="preserve"> D61&amp;" - "&amp;M61</f>
        <v>2018 - 2022</v>
      </c>
      <c r="P60" s="398"/>
      <c r="R60" s="372" t="s">
        <v>261</v>
      </c>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4"/>
    </row>
    <row r="61" spans="2:47" outlineLevel="1" x14ac:dyDescent="0.25">
      <c r="B61" s="394"/>
      <c r="C61" s="396"/>
      <c r="D61" s="88">
        <f>$C$3-5</f>
        <v>2018</v>
      </c>
      <c r="E61" s="372">
        <f>$C$3-4</f>
        <v>2019</v>
      </c>
      <c r="F61" s="374"/>
      <c r="G61" s="372">
        <f>$C$3-3</f>
        <v>2020</v>
      </c>
      <c r="H61" s="374"/>
      <c r="I61" s="372">
        <f>$C$3-2</f>
        <v>2021</v>
      </c>
      <c r="J61" s="374"/>
      <c r="K61" s="372" t="str">
        <f>$C$3-1&amp;""&amp;" ("&amp;"Σεπτ"&amp;")"</f>
        <v>2022 (Σεπτ)</v>
      </c>
      <c r="L61" s="374"/>
      <c r="M61" s="372">
        <f>$C$3-1</f>
        <v>2022</v>
      </c>
      <c r="N61" s="374"/>
      <c r="O61" s="390"/>
      <c r="P61" s="399"/>
      <c r="R61" s="416">
        <f>$C$3</f>
        <v>2023</v>
      </c>
      <c r="S61" s="403"/>
      <c r="T61" s="403"/>
      <c r="U61" s="418"/>
      <c r="V61" s="416">
        <f>$C$3+1</f>
        <v>2024</v>
      </c>
      <c r="W61" s="403"/>
      <c r="X61" s="403"/>
      <c r="Y61" s="403"/>
      <c r="Z61" s="403"/>
      <c r="AA61" s="418"/>
      <c r="AB61" s="372">
        <f>$C$3+2</f>
        <v>2025</v>
      </c>
      <c r="AC61" s="373"/>
      <c r="AD61" s="373"/>
      <c r="AE61" s="373"/>
      <c r="AF61" s="373"/>
      <c r="AG61" s="374"/>
      <c r="AH61" s="372">
        <f>$C$3+3</f>
        <v>2026</v>
      </c>
      <c r="AI61" s="373"/>
      <c r="AJ61" s="373"/>
      <c r="AK61" s="373"/>
      <c r="AL61" s="373"/>
      <c r="AM61" s="374"/>
      <c r="AN61" s="372">
        <f>$C$3+4</f>
        <v>2027</v>
      </c>
      <c r="AO61" s="373"/>
      <c r="AP61" s="373"/>
      <c r="AQ61" s="373"/>
      <c r="AR61" s="373"/>
      <c r="AS61" s="374"/>
      <c r="AT61" s="376" t="str">
        <f>R61&amp;" - "&amp;AN61</f>
        <v>2023 - 2027</v>
      </c>
      <c r="AU61" s="392"/>
    </row>
    <row r="62" spans="2:47" ht="15" customHeight="1" outlineLevel="1" x14ac:dyDescent="0.25">
      <c r="B62" s="394"/>
      <c r="C62" s="396"/>
      <c r="D62" s="419" t="s">
        <v>142</v>
      </c>
      <c r="E62" s="421" t="s">
        <v>142</v>
      </c>
      <c r="F62" s="423" t="s">
        <v>81</v>
      </c>
      <c r="G62" s="421" t="s">
        <v>142</v>
      </c>
      <c r="H62" s="423" t="s">
        <v>81</v>
      </c>
      <c r="I62" s="421" t="s">
        <v>142</v>
      </c>
      <c r="J62" s="427" t="s">
        <v>81</v>
      </c>
      <c r="K62" s="421" t="s">
        <v>142</v>
      </c>
      <c r="L62" s="427" t="s">
        <v>81</v>
      </c>
      <c r="M62" s="421" t="s">
        <v>142</v>
      </c>
      <c r="N62" s="427" t="s">
        <v>81</v>
      </c>
      <c r="O62" s="421" t="s">
        <v>17</v>
      </c>
      <c r="P62" s="425" t="s">
        <v>83</v>
      </c>
      <c r="R62" s="421" t="str">
        <f>"Διανεμόμενες ποσότητες σε πελάτες που συνδέθηκαν το "&amp;R61</f>
        <v>Διανεμόμενες ποσότητες σε πελάτες που συνδέθηκαν το 2023</v>
      </c>
      <c r="S62" s="417" t="s">
        <v>146</v>
      </c>
      <c r="T62" s="417" t="s">
        <v>143</v>
      </c>
      <c r="U62" s="415" t="s">
        <v>81</v>
      </c>
      <c r="V62" s="416" t="s">
        <v>144</v>
      </c>
      <c r="W62" s="403"/>
      <c r="X62" s="403"/>
      <c r="Y62" s="417" t="s">
        <v>146</v>
      </c>
      <c r="Z62" s="417" t="s">
        <v>143</v>
      </c>
      <c r="AA62" s="418" t="s">
        <v>81</v>
      </c>
      <c r="AB62" s="416" t="s">
        <v>144</v>
      </c>
      <c r="AC62" s="403"/>
      <c r="AD62" s="403"/>
      <c r="AE62" s="417" t="s">
        <v>146</v>
      </c>
      <c r="AF62" s="417" t="s">
        <v>143</v>
      </c>
      <c r="AG62" s="418" t="s">
        <v>81</v>
      </c>
      <c r="AH62" s="416" t="s">
        <v>144</v>
      </c>
      <c r="AI62" s="403"/>
      <c r="AJ62" s="403"/>
      <c r="AK62" s="417" t="s">
        <v>146</v>
      </c>
      <c r="AL62" s="417" t="s">
        <v>143</v>
      </c>
      <c r="AM62" s="418" t="s">
        <v>81</v>
      </c>
      <c r="AN62" s="416" t="s">
        <v>144</v>
      </c>
      <c r="AO62" s="403"/>
      <c r="AP62" s="403"/>
      <c r="AQ62" s="417" t="s">
        <v>146</v>
      </c>
      <c r="AR62" s="417" t="s">
        <v>143</v>
      </c>
      <c r="AS62" s="418" t="s">
        <v>81</v>
      </c>
      <c r="AT62" s="430" t="s">
        <v>17</v>
      </c>
      <c r="AU62" s="428" t="s">
        <v>83</v>
      </c>
    </row>
    <row r="63" spans="2:47" ht="60" outlineLevel="1" x14ac:dyDescent="0.25">
      <c r="B63" s="395"/>
      <c r="C63" s="396"/>
      <c r="D63" s="420"/>
      <c r="E63" s="422"/>
      <c r="F63" s="424"/>
      <c r="G63" s="422"/>
      <c r="H63" s="424"/>
      <c r="I63" s="422"/>
      <c r="J63" s="380"/>
      <c r="K63" s="422"/>
      <c r="L63" s="380"/>
      <c r="M63" s="422"/>
      <c r="N63" s="380"/>
      <c r="O63" s="422"/>
      <c r="P63" s="426"/>
      <c r="R63" s="422"/>
      <c r="S63" s="417"/>
      <c r="T63" s="417"/>
      <c r="U63" s="415"/>
      <c r="V63" s="135" t="str">
        <f>"Διανεμόμενες ποσότητες σε πελάτες που συνδέθηκαν το "&amp;V61</f>
        <v>Διανεμόμενες ποσότητες σε πελάτες που συνδέθηκαν το 2024</v>
      </c>
      <c r="W63" s="117" t="str">
        <f>"Διανεμόμενες ποσότητες σε πελάτες που συνδέθηκαν το "&amp;R61</f>
        <v>Διανεμόμενες ποσότητες σε πελάτες που συνδέθηκαν το 2023</v>
      </c>
      <c r="X63" s="60" t="s">
        <v>145</v>
      </c>
      <c r="Y63" s="417"/>
      <c r="Z63" s="417"/>
      <c r="AA63" s="418"/>
      <c r="AB63" s="135" t="str">
        <f>"Διανεμόμενες ποσότητες σε πελάτες που συνδέθηκαν το "&amp;AB61</f>
        <v>Διανεμόμενες ποσότητες σε πελάτες που συνδέθηκαν το 2025</v>
      </c>
      <c r="AC63" s="117" t="str">
        <f>"Διανεμόμενες ποσότητες σε πελάτες που συνδέθηκαν το "&amp;$R$12&amp;" - "&amp;V61</f>
        <v>Διανεμόμενες ποσότητες σε πελάτες που συνδέθηκαν το 2023 - 2024</v>
      </c>
      <c r="AD63" s="60" t="s">
        <v>145</v>
      </c>
      <c r="AE63" s="417"/>
      <c r="AF63" s="417"/>
      <c r="AG63" s="418"/>
      <c r="AH63" s="135" t="str">
        <f>"Διανεμόμενες ποσότητες σε πελάτες που συνδέθηκαν το "&amp;AH61</f>
        <v>Διανεμόμενες ποσότητες σε πελάτες που συνδέθηκαν το 2026</v>
      </c>
      <c r="AI63" s="117" t="str">
        <f>"Διανεμόμενες ποσότητες σε πελάτες που συνδέθηκαν το "&amp;$R$12&amp;" - "&amp;AB61</f>
        <v>Διανεμόμενες ποσότητες σε πελάτες που συνδέθηκαν το 2023 - 2025</v>
      </c>
      <c r="AJ63" s="60" t="s">
        <v>145</v>
      </c>
      <c r="AK63" s="417"/>
      <c r="AL63" s="417"/>
      <c r="AM63" s="418"/>
      <c r="AN63" s="135" t="str">
        <f>"Διανεμόμενες ποσότητες σε πελάτες που συνδέθηκαν το "&amp;AN61</f>
        <v>Διανεμόμενες ποσότητες σε πελάτες που συνδέθηκαν το 2027</v>
      </c>
      <c r="AO63" s="117" t="str">
        <f>"Διανεμόμενες ποσότητες σε πελάτες που συνδέθηκαν το "&amp;$R$12&amp;" - "&amp;AH61</f>
        <v>Διανεμόμενες ποσότητες σε πελάτες που συνδέθηκαν το 2023 - 2026</v>
      </c>
      <c r="AP63" s="60" t="s">
        <v>145</v>
      </c>
      <c r="AQ63" s="417"/>
      <c r="AR63" s="417"/>
      <c r="AS63" s="418"/>
      <c r="AT63" s="431"/>
      <c r="AU63" s="429"/>
    </row>
    <row r="64" spans="2:47" outlineLevel="1" x14ac:dyDescent="0.25">
      <c r="B64" s="281" t="s">
        <v>283</v>
      </c>
      <c r="C64" s="64" t="s">
        <v>26</v>
      </c>
      <c r="D64" s="91">
        <v>0</v>
      </c>
      <c r="E64" s="91">
        <v>0</v>
      </c>
      <c r="F64" s="203">
        <f t="shared" ref="F64:F67" si="270">IFERROR((E64-D64)/D64,0)</f>
        <v>0</v>
      </c>
      <c r="G64" s="91">
        <v>0</v>
      </c>
      <c r="H64" s="203">
        <f>IFERROR((G64-E64)/E64,0)</f>
        <v>0</v>
      </c>
      <c r="I64" s="91">
        <v>0</v>
      </c>
      <c r="J64" s="203">
        <f>IFERROR((I64-G64)/G64,0)</f>
        <v>0</v>
      </c>
      <c r="K64" s="91">
        <v>0</v>
      </c>
      <c r="L64" s="157"/>
      <c r="M64" s="71"/>
      <c r="N64" s="203">
        <f>IFERROR((M64-I64)/I64,0)</f>
        <v>0</v>
      </c>
      <c r="O64" s="198">
        <f t="shared" ref="O64:O67" si="271">D64+E64+G64+I64+M64</f>
        <v>0</v>
      </c>
      <c r="P64" s="199">
        <f t="shared" ref="P64:P67" si="272">IFERROR((M64/D64)^(1/4)-1,0)</f>
        <v>0</v>
      </c>
      <c r="R64" s="206">
        <f>'Μέση ετήσια κατανάλωση'!F36*'Ενεργοί πελάτες'!X62</f>
        <v>1220</v>
      </c>
      <c r="S64" s="6"/>
      <c r="T64" s="167">
        <f>R64+S64</f>
        <v>1220</v>
      </c>
      <c r="U64" s="228">
        <f t="shared" ref="U64:U67" si="273">IFERROR((T64-M64)/M64,0)</f>
        <v>0</v>
      </c>
      <c r="V64" s="206">
        <f>'Μέση ετήσια κατανάλωση'!G36*'Ενεργοί πελάτες'!AA62</f>
        <v>1850</v>
      </c>
      <c r="W64" s="167">
        <f>R64</f>
        <v>1220</v>
      </c>
      <c r="X64" s="167">
        <f>V64+W64</f>
        <v>3070</v>
      </c>
      <c r="Y64" s="6"/>
      <c r="Z64" s="167">
        <f>X64+Y64</f>
        <v>3070</v>
      </c>
      <c r="AA64" s="203">
        <f t="shared" ref="AA64:AA67" si="274">IFERROR((Z64-T64)/T64,0)</f>
        <v>1.5163934426229508</v>
      </c>
      <c r="AB64" s="206">
        <f>'Μέση ετήσια κατανάλωση'!G36*'Ενεργοί πελάτες'!AD62</f>
        <v>1050</v>
      </c>
      <c r="AC64" s="167">
        <f>X64</f>
        <v>3070</v>
      </c>
      <c r="AD64" s="167">
        <f>AB64+AC64</f>
        <v>4120</v>
      </c>
      <c r="AE64" s="6"/>
      <c r="AF64" s="167">
        <f>AD64+AE64</f>
        <v>4120</v>
      </c>
      <c r="AG64" s="203">
        <f>IFERROR((AF64-Z64)/Z64,0)</f>
        <v>0.34201954397394135</v>
      </c>
      <c r="AH64" s="206">
        <f>'Μέση ετήσια κατανάλωση'!G36*'Ενεργοί πελάτες'!AG62</f>
        <v>300</v>
      </c>
      <c r="AI64" s="167">
        <f>AD64</f>
        <v>4120</v>
      </c>
      <c r="AJ64" s="167">
        <f>AH64+AI64</f>
        <v>4420</v>
      </c>
      <c r="AK64" s="6"/>
      <c r="AL64" s="167">
        <f>AJ64+AK64</f>
        <v>4420</v>
      </c>
      <c r="AM64" s="203">
        <f>IFERROR((AL64-AF64)/AF64,0)</f>
        <v>7.281553398058252E-2</v>
      </c>
      <c r="AN64" s="206">
        <f>'Μέση ετήσια κατανάλωση'!G36*'Ενεργοί πελάτες'!AJ62</f>
        <v>160</v>
      </c>
      <c r="AO64" s="167">
        <f>AJ64</f>
        <v>4420</v>
      </c>
      <c r="AP64" s="167">
        <f>AN64+AO64</f>
        <v>4580</v>
      </c>
      <c r="AQ64" s="6"/>
      <c r="AR64" s="167">
        <f>AP64+AQ64</f>
        <v>4580</v>
      </c>
      <c r="AS64" s="203">
        <f>IFERROR((AR64-AL64)/AL64,0)</f>
        <v>3.6199095022624438E-2</v>
      </c>
      <c r="AT64" s="198">
        <f t="shared" ref="AT64:AT67" si="275">T64+Z64+AF64+AL64+AR64</f>
        <v>17410</v>
      </c>
      <c r="AU64" s="199">
        <f t="shared" ref="AU64:AU67" si="276">IFERROR((AR64/T64)^(1/4)-1,0)</f>
        <v>0.39195889892954194</v>
      </c>
    </row>
    <row r="65" spans="2:47" outlineLevel="1" x14ac:dyDescent="0.25">
      <c r="B65" s="52" t="s">
        <v>284</v>
      </c>
      <c r="C65" s="64" t="s">
        <v>26</v>
      </c>
      <c r="D65" s="91">
        <v>0</v>
      </c>
      <c r="E65" s="91">
        <v>0</v>
      </c>
      <c r="F65" s="203">
        <f t="shared" si="270"/>
        <v>0</v>
      </c>
      <c r="G65" s="91">
        <v>0</v>
      </c>
      <c r="H65" s="203">
        <f t="shared" ref="H65:H80" si="277">IFERROR((G65-E65)/E65,0)</f>
        <v>0</v>
      </c>
      <c r="I65" s="91">
        <v>0</v>
      </c>
      <c r="J65" s="203">
        <f t="shared" ref="J65:J80" si="278">IFERROR((I65-G65)/G65,0)</f>
        <v>0</v>
      </c>
      <c r="K65" s="91">
        <v>0</v>
      </c>
      <c r="L65" s="157"/>
      <c r="M65" s="71"/>
      <c r="N65" s="203">
        <f t="shared" ref="N65:N80" si="279">IFERROR((M65-I65)/I65,0)</f>
        <v>0</v>
      </c>
      <c r="O65" s="198">
        <f t="shared" si="271"/>
        <v>0</v>
      </c>
      <c r="P65" s="199">
        <f t="shared" si="272"/>
        <v>0</v>
      </c>
      <c r="R65" s="206">
        <f>'Μέση ετήσια κατανάλωση'!F37*'Ενεργοί πελάτες'!X63</f>
        <v>895</v>
      </c>
      <c r="S65" s="6"/>
      <c r="T65" s="167">
        <f t="shared" ref="T65:T67" si="280">R65+S65</f>
        <v>895</v>
      </c>
      <c r="U65" s="228">
        <f t="shared" si="273"/>
        <v>0</v>
      </c>
      <c r="V65" s="206">
        <f>'Μέση ετήσια κατανάλωση'!G37*'Ενεργοί πελάτες'!AA63</f>
        <v>1300</v>
      </c>
      <c r="W65" s="167">
        <f t="shared" ref="W65:W72" si="281">R65</f>
        <v>895</v>
      </c>
      <c r="X65" s="167">
        <f t="shared" ref="X65:X67" si="282">V65+W65</f>
        <v>2195</v>
      </c>
      <c r="Y65" s="6"/>
      <c r="Z65" s="167">
        <f t="shared" ref="Z65:Z67" si="283">X65+Y65</f>
        <v>2195</v>
      </c>
      <c r="AA65" s="203">
        <f t="shared" si="274"/>
        <v>1.4525139664804469</v>
      </c>
      <c r="AB65" s="206">
        <f>'Μέση ετήσια κατανάλωση'!G37*'Ενεργοί πελάτες'!AD63</f>
        <v>1270</v>
      </c>
      <c r="AC65" s="167">
        <f t="shared" ref="AC65:AC72" si="284">X65</f>
        <v>2195</v>
      </c>
      <c r="AD65" s="167">
        <f t="shared" ref="AD65:AD67" si="285">AB65+AC65</f>
        <v>3465</v>
      </c>
      <c r="AE65" s="6"/>
      <c r="AF65" s="167">
        <f t="shared" ref="AF65:AF67" si="286">AD65+AE65</f>
        <v>3465</v>
      </c>
      <c r="AG65" s="203">
        <f t="shared" ref="AG65:AG80" si="287">IFERROR((AF65-Z65)/Z65,0)</f>
        <v>0.57858769931662868</v>
      </c>
      <c r="AH65" s="206">
        <f>'Μέση ετήσια κατανάλωση'!G37*'Ενεργοί πελάτες'!AG63</f>
        <v>340</v>
      </c>
      <c r="AI65" s="167">
        <f t="shared" ref="AI65:AI72" si="288">AD65</f>
        <v>3465</v>
      </c>
      <c r="AJ65" s="167">
        <f t="shared" ref="AJ65:AJ67" si="289">AH65+AI65</f>
        <v>3805</v>
      </c>
      <c r="AK65" s="6"/>
      <c r="AL65" s="167">
        <f t="shared" ref="AL65:AL67" si="290">AJ65+AK65</f>
        <v>3805</v>
      </c>
      <c r="AM65" s="203">
        <f t="shared" ref="AM65:AM80" si="291">IFERROR((AL65-AF65)/AF65,0)</f>
        <v>9.8124098124098127E-2</v>
      </c>
      <c r="AN65" s="206">
        <f>'Μέση ετήσια κατανάλωση'!G37*'Ενεργοί πελάτες'!AJ63</f>
        <v>70</v>
      </c>
      <c r="AO65" s="167">
        <f t="shared" ref="AO65:AO72" si="292">AJ65</f>
        <v>3805</v>
      </c>
      <c r="AP65" s="167">
        <f t="shared" ref="AP65:AP67" si="293">AN65+AO65</f>
        <v>3875</v>
      </c>
      <c r="AQ65" s="6"/>
      <c r="AR65" s="167">
        <f t="shared" ref="AR65:AR67" si="294">AP65+AQ65</f>
        <v>3875</v>
      </c>
      <c r="AS65" s="203">
        <f t="shared" ref="AS65:AS67" si="295">IFERROR((AR65-AL65)/AL65,0)</f>
        <v>1.8396846254927726E-2</v>
      </c>
      <c r="AT65" s="198">
        <f t="shared" si="275"/>
        <v>14235</v>
      </c>
      <c r="AU65" s="199">
        <f t="shared" si="276"/>
        <v>0.4424878635456142</v>
      </c>
    </row>
    <row r="66" spans="2:47" outlineLevel="1" x14ac:dyDescent="0.25">
      <c r="B66" s="52" t="s">
        <v>285</v>
      </c>
      <c r="C66" s="64" t="s">
        <v>26</v>
      </c>
      <c r="D66" s="91">
        <v>0</v>
      </c>
      <c r="E66" s="91">
        <v>0</v>
      </c>
      <c r="F66" s="203">
        <f t="shared" si="270"/>
        <v>0</v>
      </c>
      <c r="G66" s="91">
        <v>0</v>
      </c>
      <c r="H66" s="203">
        <f t="shared" si="277"/>
        <v>0</v>
      </c>
      <c r="I66" s="91">
        <v>0</v>
      </c>
      <c r="J66" s="203">
        <f t="shared" si="278"/>
        <v>0</v>
      </c>
      <c r="K66" s="91">
        <v>0</v>
      </c>
      <c r="L66" s="157"/>
      <c r="M66" s="71"/>
      <c r="N66" s="203">
        <f t="shared" si="279"/>
        <v>0</v>
      </c>
      <c r="O66" s="198">
        <f t="shared" si="271"/>
        <v>0</v>
      </c>
      <c r="P66" s="199">
        <f t="shared" si="272"/>
        <v>0</v>
      </c>
      <c r="R66" s="206">
        <f>'Μέση ετήσια κατανάλωση'!F38*'Ενεργοί πελάτες'!X64</f>
        <v>840</v>
      </c>
      <c r="S66" s="6"/>
      <c r="T66" s="167">
        <f t="shared" si="280"/>
        <v>840</v>
      </c>
      <c r="U66" s="228">
        <f t="shared" si="273"/>
        <v>0</v>
      </c>
      <c r="V66" s="206">
        <f>'Μέση ετήσια κατανάλωση'!G38*'Ενεργοί πελάτες'!AA64</f>
        <v>1275</v>
      </c>
      <c r="W66" s="167">
        <f t="shared" si="281"/>
        <v>840</v>
      </c>
      <c r="X66" s="167">
        <f t="shared" si="282"/>
        <v>2115</v>
      </c>
      <c r="Y66" s="6"/>
      <c r="Z66" s="167">
        <f t="shared" si="283"/>
        <v>2115</v>
      </c>
      <c r="AA66" s="203">
        <f t="shared" si="274"/>
        <v>1.5178571428571428</v>
      </c>
      <c r="AB66" s="206">
        <f>'Μέση ετήσια κατανάλωση'!G38*'Ενεργοί πελάτες'!AD64</f>
        <v>1030</v>
      </c>
      <c r="AC66" s="167">
        <f t="shared" si="284"/>
        <v>2115</v>
      </c>
      <c r="AD66" s="167">
        <f t="shared" si="285"/>
        <v>3145</v>
      </c>
      <c r="AE66" s="6"/>
      <c r="AF66" s="167">
        <f t="shared" si="286"/>
        <v>3145</v>
      </c>
      <c r="AG66" s="203">
        <f t="shared" si="287"/>
        <v>0.48699763593380613</v>
      </c>
      <c r="AH66" s="206">
        <f>'Μέση ετήσια κατανάλωση'!G38*'Ενεργοί πελάτες'!AG64</f>
        <v>320</v>
      </c>
      <c r="AI66" s="167">
        <f t="shared" si="288"/>
        <v>3145</v>
      </c>
      <c r="AJ66" s="167">
        <f t="shared" si="289"/>
        <v>3465</v>
      </c>
      <c r="AK66" s="6"/>
      <c r="AL66" s="167">
        <f t="shared" si="290"/>
        <v>3465</v>
      </c>
      <c r="AM66" s="203">
        <f t="shared" si="291"/>
        <v>0.10174880763116058</v>
      </c>
      <c r="AN66" s="206">
        <f>'Μέση ετήσια κατανάλωση'!G38*'Ενεργοί πελάτες'!AJ64</f>
        <v>160</v>
      </c>
      <c r="AO66" s="167">
        <f t="shared" si="292"/>
        <v>3465</v>
      </c>
      <c r="AP66" s="167">
        <f t="shared" si="293"/>
        <v>3625</v>
      </c>
      <c r="AQ66" s="6"/>
      <c r="AR66" s="167">
        <f t="shared" si="294"/>
        <v>3625</v>
      </c>
      <c r="AS66" s="203">
        <f t="shared" si="295"/>
        <v>4.6176046176046176E-2</v>
      </c>
      <c r="AT66" s="198">
        <f t="shared" si="275"/>
        <v>13190</v>
      </c>
      <c r="AU66" s="199">
        <f t="shared" si="276"/>
        <v>0.44130927444356693</v>
      </c>
    </row>
    <row r="67" spans="2:47" ht="16.5" customHeight="1" outlineLevel="1" x14ac:dyDescent="0.25">
      <c r="B67" s="52" t="s">
        <v>286</v>
      </c>
      <c r="C67" s="64" t="s">
        <v>26</v>
      </c>
      <c r="D67" s="91">
        <v>0</v>
      </c>
      <c r="E67" s="91">
        <v>0</v>
      </c>
      <c r="F67" s="203">
        <f t="shared" si="270"/>
        <v>0</v>
      </c>
      <c r="G67" s="91">
        <v>0</v>
      </c>
      <c r="H67" s="203">
        <f t="shared" si="277"/>
        <v>0</v>
      </c>
      <c r="I67" s="91">
        <v>0</v>
      </c>
      <c r="J67" s="203">
        <f t="shared" si="278"/>
        <v>0</v>
      </c>
      <c r="K67" s="91">
        <v>0</v>
      </c>
      <c r="L67" s="157"/>
      <c r="M67" s="71"/>
      <c r="N67" s="203">
        <f t="shared" si="279"/>
        <v>0</v>
      </c>
      <c r="O67" s="198">
        <f t="shared" si="271"/>
        <v>0</v>
      </c>
      <c r="P67" s="199">
        <f t="shared" si="272"/>
        <v>0</v>
      </c>
      <c r="R67" s="206">
        <f>'Μέση ετήσια κατανάλωση'!F39*'Ενεργοί πελάτες'!X65</f>
        <v>1175</v>
      </c>
      <c r="S67" s="6"/>
      <c r="T67" s="172">
        <f t="shared" si="280"/>
        <v>1175</v>
      </c>
      <c r="U67" s="228">
        <f t="shared" si="273"/>
        <v>0</v>
      </c>
      <c r="V67" s="206">
        <f>'Μέση ετήσια κατανάλωση'!G39*'Ενεργοί πελάτες'!AA65</f>
        <v>5350</v>
      </c>
      <c r="W67" s="167">
        <f t="shared" si="281"/>
        <v>1175</v>
      </c>
      <c r="X67" s="167">
        <f t="shared" si="282"/>
        <v>6525</v>
      </c>
      <c r="Y67" s="6"/>
      <c r="Z67" s="167">
        <f t="shared" si="283"/>
        <v>6525</v>
      </c>
      <c r="AA67" s="203">
        <f t="shared" si="274"/>
        <v>4.5531914893617023</v>
      </c>
      <c r="AB67" s="206">
        <f>'Μέση ετήσια κατανάλωση'!G39*'Ενεργοί πελάτες'!AD65</f>
        <v>4050</v>
      </c>
      <c r="AC67" s="167">
        <f t="shared" si="284"/>
        <v>6525</v>
      </c>
      <c r="AD67" s="167">
        <f t="shared" si="285"/>
        <v>10575</v>
      </c>
      <c r="AE67" s="6"/>
      <c r="AF67" s="167">
        <f t="shared" si="286"/>
        <v>10575</v>
      </c>
      <c r="AG67" s="203">
        <f t="shared" si="287"/>
        <v>0.62068965517241381</v>
      </c>
      <c r="AH67" s="206">
        <f>'Μέση ετήσια κατανάλωση'!G39*'Ενεργοί πελάτες'!AG65</f>
        <v>1385</v>
      </c>
      <c r="AI67" s="167">
        <f t="shared" si="288"/>
        <v>10575</v>
      </c>
      <c r="AJ67" s="167">
        <f t="shared" si="289"/>
        <v>11960</v>
      </c>
      <c r="AK67" s="6"/>
      <c r="AL67" s="167">
        <f t="shared" si="290"/>
        <v>11960</v>
      </c>
      <c r="AM67" s="203">
        <f t="shared" si="291"/>
        <v>0.1309692671394799</v>
      </c>
      <c r="AN67" s="206">
        <f>'Μέση ετήσια κατανάλωση'!G39*'Ενεργοί πελάτες'!AJ65</f>
        <v>690</v>
      </c>
      <c r="AO67" s="167">
        <f t="shared" si="292"/>
        <v>11960</v>
      </c>
      <c r="AP67" s="167">
        <f t="shared" si="293"/>
        <v>12650</v>
      </c>
      <c r="AQ67" s="6"/>
      <c r="AR67" s="167">
        <f t="shared" si="294"/>
        <v>12650</v>
      </c>
      <c r="AS67" s="203">
        <f t="shared" si="295"/>
        <v>5.7692307692307696E-2</v>
      </c>
      <c r="AT67" s="198">
        <f t="shared" si="275"/>
        <v>42885</v>
      </c>
      <c r="AU67" s="199">
        <f t="shared" si="276"/>
        <v>0.81139500042631907</v>
      </c>
    </row>
    <row r="68" spans="2:47" ht="16.5" customHeight="1" outlineLevel="1" x14ac:dyDescent="0.25">
      <c r="B68" s="52" t="s">
        <v>287</v>
      </c>
      <c r="C68" s="64" t="s">
        <v>26</v>
      </c>
      <c r="D68" s="91">
        <v>0</v>
      </c>
      <c r="E68" s="91">
        <v>0</v>
      </c>
      <c r="F68" s="203">
        <f t="shared" ref="F68" si="296">IFERROR((E68-D68)/D68,0)</f>
        <v>0</v>
      </c>
      <c r="G68" s="91">
        <v>0</v>
      </c>
      <c r="H68" s="203">
        <f t="shared" ref="H68" si="297">IFERROR((G68-E68)/E68,0)</f>
        <v>0</v>
      </c>
      <c r="I68" s="91">
        <v>0</v>
      </c>
      <c r="J68" s="203">
        <f t="shared" ref="J68" si="298">IFERROR((I68-G68)/G68,0)</f>
        <v>0</v>
      </c>
      <c r="K68" s="91">
        <v>0</v>
      </c>
      <c r="L68" s="157"/>
      <c r="M68" s="71"/>
      <c r="N68" s="203">
        <f t="shared" ref="N68" si="299">IFERROR((M68-I68)/I68,0)</f>
        <v>0</v>
      </c>
      <c r="O68" s="198">
        <f t="shared" ref="O68" si="300">D68+E68+G68+I68+M68</f>
        <v>0</v>
      </c>
      <c r="P68" s="199">
        <f t="shared" ref="P68" si="301">IFERROR((M68/D68)^(1/4)-1,0)</f>
        <v>0</v>
      </c>
      <c r="R68" s="206">
        <f>'Μέση ετήσια κατανάλωση'!F40*'Ενεργοί πελάτες'!X66</f>
        <v>0</v>
      </c>
      <c r="S68" s="6"/>
      <c r="T68" s="172">
        <f t="shared" ref="T68" si="302">R68+S68</f>
        <v>0</v>
      </c>
      <c r="U68" s="228">
        <f t="shared" ref="U68" si="303">IFERROR((T68-M68)/M68,0)</f>
        <v>0</v>
      </c>
      <c r="V68" s="206">
        <f>'Μέση ετήσια κατανάλωση'!G40*'Ενεργοί πελάτες'!AA66</f>
        <v>4000</v>
      </c>
      <c r="W68" s="167">
        <f t="shared" si="281"/>
        <v>0</v>
      </c>
      <c r="X68" s="167">
        <f t="shared" ref="X68" si="304">V68+W68</f>
        <v>4000</v>
      </c>
      <c r="Y68" s="6"/>
      <c r="Z68" s="167">
        <f t="shared" ref="Z68" si="305">X68+Y68</f>
        <v>4000</v>
      </c>
      <c r="AA68" s="203">
        <f t="shared" ref="AA68" si="306">IFERROR((Z68-T68)/T68,0)</f>
        <v>0</v>
      </c>
      <c r="AB68" s="206">
        <f>'Μέση ετήσια κατανάλωση'!G40*'Ενεργοί πελάτες'!AD66</f>
        <v>3740</v>
      </c>
      <c r="AC68" s="167">
        <f t="shared" si="284"/>
        <v>4000</v>
      </c>
      <c r="AD68" s="167">
        <f t="shared" ref="AD68" si="307">AB68+AC68</f>
        <v>7740</v>
      </c>
      <c r="AE68" s="6"/>
      <c r="AF68" s="167">
        <f t="shared" ref="AF68" si="308">AD68+AE68</f>
        <v>7740</v>
      </c>
      <c r="AG68" s="203">
        <f t="shared" ref="AG68" si="309">IFERROR((AF68-Z68)/Z68,0)</f>
        <v>0.93500000000000005</v>
      </c>
      <c r="AH68" s="206">
        <f>'Μέση ετήσια κατανάλωση'!G40*'Ενεργοί πελάτες'!AG66</f>
        <v>3430</v>
      </c>
      <c r="AI68" s="167">
        <f t="shared" si="288"/>
        <v>7740</v>
      </c>
      <c r="AJ68" s="167">
        <f t="shared" ref="AJ68" si="310">AH68+AI68</f>
        <v>11170</v>
      </c>
      <c r="AK68" s="6"/>
      <c r="AL68" s="167">
        <f t="shared" ref="AL68" si="311">AJ68+AK68</f>
        <v>11170</v>
      </c>
      <c r="AM68" s="203">
        <f t="shared" ref="AM68" si="312">IFERROR((AL68-AF68)/AF68,0)</f>
        <v>0.44315245478036175</v>
      </c>
      <c r="AN68" s="206">
        <f>'Μέση ετήσια κατανάλωση'!G40*'Ενεργοί πελάτες'!AJ66</f>
        <v>1720</v>
      </c>
      <c r="AO68" s="167">
        <f t="shared" si="292"/>
        <v>11170</v>
      </c>
      <c r="AP68" s="167">
        <f t="shared" ref="AP68" si="313">AN68+AO68</f>
        <v>12890</v>
      </c>
      <c r="AQ68" s="6"/>
      <c r="AR68" s="167">
        <f t="shared" ref="AR68" si="314">AP68+AQ68</f>
        <v>12890</v>
      </c>
      <c r="AS68" s="203">
        <f t="shared" ref="AS68" si="315">IFERROR((AR68-AL68)/AL68,0)</f>
        <v>0.15398388540734109</v>
      </c>
      <c r="AT68" s="198">
        <f t="shared" ref="AT68" si="316">T68+Z68+AF68+AL68+AR68</f>
        <v>35800</v>
      </c>
      <c r="AU68" s="199">
        <f t="shared" ref="AU68" si="317">IFERROR((AR68/T68)^(1/4)-1,0)</f>
        <v>0</v>
      </c>
    </row>
    <row r="69" spans="2:47" ht="16.5" customHeight="1" outlineLevel="1" x14ac:dyDescent="0.25">
      <c r="B69" s="52" t="s">
        <v>288</v>
      </c>
      <c r="C69" s="64" t="s">
        <v>26</v>
      </c>
      <c r="D69" s="91">
        <v>0</v>
      </c>
      <c r="E69" s="91">
        <v>0</v>
      </c>
      <c r="F69" s="203">
        <f t="shared" ref="F69" si="318">IFERROR((E69-D69)/D69,0)</f>
        <v>0</v>
      </c>
      <c r="G69" s="91">
        <v>0</v>
      </c>
      <c r="H69" s="203">
        <f t="shared" ref="H69" si="319">IFERROR((G69-E69)/E69,0)</f>
        <v>0</v>
      </c>
      <c r="I69" s="91">
        <v>0</v>
      </c>
      <c r="J69" s="203">
        <f t="shared" ref="J69" si="320">IFERROR((I69-G69)/G69,0)</f>
        <v>0</v>
      </c>
      <c r="K69" s="91">
        <v>0</v>
      </c>
      <c r="L69" s="157"/>
      <c r="M69" s="71"/>
      <c r="N69" s="203">
        <f t="shared" ref="N69" si="321">IFERROR((M69-I69)/I69,0)</f>
        <v>0</v>
      </c>
      <c r="O69" s="198">
        <f t="shared" ref="O69" si="322">D69+E69+G69+I69+M69</f>
        <v>0</v>
      </c>
      <c r="P69" s="199">
        <f t="shared" ref="P69" si="323">IFERROR((M69/D69)^(1/4)-1,0)</f>
        <v>0</v>
      </c>
      <c r="R69" s="206">
        <f>'Μέση ετήσια κατανάλωση'!F41*'Ενεργοί πελάτες'!X67</f>
        <v>975</v>
      </c>
      <c r="S69" s="6"/>
      <c r="T69" s="172">
        <f t="shared" ref="T69" si="324">R69+S69</f>
        <v>975</v>
      </c>
      <c r="U69" s="228">
        <f t="shared" ref="U69" si="325">IFERROR((T69-M69)/M69,0)</f>
        <v>0</v>
      </c>
      <c r="V69" s="206">
        <f>'Μέση ετήσια κατανάλωση'!G41*'Ενεργοί πελάτες'!AA67</f>
        <v>1800</v>
      </c>
      <c r="W69" s="167">
        <f t="shared" si="281"/>
        <v>975</v>
      </c>
      <c r="X69" s="167">
        <f t="shared" ref="X69" si="326">V69+W69</f>
        <v>2775</v>
      </c>
      <c r="Y69" s="6"/>
      <c r="Z69" s="167">
        <f t="shared" ref="Z69" si="327">X69+Y69</f>
        <v>2775</v>
      </c>
      <c r="AA69" s="203">
        <f t="shared" ref="AA69" si="328">IFERROR((Z69-T69)/T69,0)</f>
        <v>1.8461538461538463</v>
      </c>
      <c r="AB69" s="206">
        <f>'Μέση ετήσια κατανάλωση'!G41*'Ενεργοί πελάτες'!AD67</f>
        <v>1090</v>
      </c>
      <c r="AC69" s="167">
        <f t="shared" si="284"/>
        <v>2775</v>
      </c>
      <c r="AD69" s="167">
        <f t="shared" ref="AD69" si="329">AB69+AC69</f>
        <v>3865</v>
      </c>
      <c r="AE69" s="6"/>
      <c r="AF69" s="167">
        <f t="shared" ref="AF69" si="330">AD69+AE69</f>
        <v>3865</v>
      </c>
      <c r="AG69" s="203">
        <f t="shared" ref="AG69" si="331">IFERROR((AF69-Z69)/Z69,0)</f>
        <v>0.39279279279279278</v>
      </c>
      <c r="AH69" s="206">
        <f>'Μέση ετήσια κατανάλωση'!G41*'Ενεργοί πελάτες'!AG67</f>
        <v>250</v>
      </c>
      <c r="AI69" s="167">
        <f t="shared" si="288"/>
        <v>3865</v>
      </c>
      <c r="AJ69" s="167">
        <f t="shared" ref="AJ69" si="332">AH69+AI69</f>
        <v>4115</v>
      </c>
      <c r="AK69" s="6"/>
      <c r="AL69" s="167">
        <f t="shared" ref="AL69" si="333">AJ69+AK69</f>
        <v>4115</v>
      </c>
      <c r="AM69" s="203">
        <f t="shared" ref="AM69" si="334">IFERROR((AL69-AF69)/AF69,0)</f>
        <v>6.4683053040103494E-2</v>
      </c>
      <c r="AN69" s="206">
        <f>'Μέση ετήσια κατανάλωση'!G41*'Ενεργοί πελάτες'!AJ67</f>
        <v>125</v>
      </c>
      <c r="AO69" s="167">
        <f t="shared" si="292"/>
        <v>4115</v>
      </c>
      <c r="AP69" s="167">
        <f t="shared" ref="AP69" si="335">AN69+AO69</f>
        <v>4240</v>
      </c>
      <c r="AQ69" s="6"/>
      <c r="AR69" s="167">
        <f t="shared" ref="AR69" si="336">AP69+AQ69</f>
        <v>4240</v>
      </c>
      <c r="AS69" s="203">
        <f t="shared" ref="AS69" si="337">IFERROR((AR69-AL69)/AL69,0)</f>
        <v>3.0376670716889428E-2</v>
      </c>
      <c r="AT69" s="198">
        <f t="shared" ref="AT69" si="338">T69+Z69+AF69+AL69+AR69</f>
        <v>15970</v>
      </c>
      <c r="AU69" s="199">
        <f t="shared" ref="AU69" si="339">IFERROR((AR69/T69)^(1/4)-1,0)</f>
        <v>0.44407686448545358</v>
      </c>
    </row>
    <row r="70" spans="2:47" ht="16.5" customHeight="1" outlineLevel="1" x14ac:dyDescent="0.25">
      <c r="B70" s="52" t="s">
        <v>289</v>
      </c>
      <c r="C70" s="64" t="s">
        <v>26</v>
      </c>
      <c r="D70" s="91">
        <v>0</v>
      </c>
      <c r="E70" s="91">
        <v>0</v>
      </c>
      <c r="F70" s="203">
        <f t="shared" ref="F70" si="340">IFERROR((E70-D70)/D70,0)</f>
        <v>0</v>
      </c>
      <c r="G70" s="91">
        <v>0</v>
      </c>
      <c r="H70" s="203">
        <f t="shared" ref="H70" si="341">IFERROR((G70-E70)/E70,0)</f>
        <v>0</v>
      </c>
      <c r="I70" s="91">
        <v>0</v>
      </c>
      <c r="J70" s="203">
        <f t="shared" ref="J70" si="342">IFERROR((I70-G70)/G70,0)</f>
        <v>0</v>
      </c>
      <c r="K70" s="91">
        <v>0</v>
      </c>
      <c r="L70" s="157"/>
      <c r="M70" s="71"/>
      <c r="N70" s="203">
        <f t="shared" ref="N70" si="343">IFERROR((M70-I70)/I70,0)</f>
        <v>0</v>
      </c>
      <c r="O70" s="198">
        <f t="shared" ref="O70" si="344">D70+E70+G70+I70+M70</f>
        <v>0</v>
      </c>
      <c r="P70" s="199">
        <f t="shared" ref="P70" si="345">IFERROR((M70/D70)^(1/4)-1,0)</f>
        <v>0</v>
      </c>
      <c r="R70" s="206">
        <f>'Μέση ετήσια κατανάλωση'!F42*'Ενεργοί πελάτες'!X68</f>
        <v>1370</v>
      </c>
      <c r="S70" s="6"/>
      <c r="T70" s="172">
        <f t="shared" ref="T70" si="346">R70+S70</f>
        <v>1370</v>
      </c>
      <c r="U70" s="228">
        <f t="shared" ref="U70" si="347">IFERROR((T70-M70)/M70,0)</f>
        <v>0</v>
      </c>
      <c r="V70" s="206">
        <f>'Μέση ετήσια κατανάλωση'!G42*'Ενεργοί πελάτες'!AA68</f>
        <v>7245</v>
      </c>
      <c r="W70" s="167">
        <f t="shared" si="281"/>
        <v>1370</v>
      </c>
      <c r="X70" s="167">
        <f t="shared" ref="X70" si="348">V70+W70</f>
        <v>8615</v>
      </c>
      <c r="Y70" s="6"/>
      <c r="Z70" s="167">
        <f t="shared" ref="Z70" si="349">X70+Y70</f>
        <v>8615</v>
      </c>
      <c r="AA70" s="203">
        <f t="shared" ref="AA70" si="350">IFERROR((Z70-T70)/T70,0)</f>
        <v>5.288321167883212</v>
      </c>
      <c r="AB70" s="206">
        <f>'Μέση ετήσια κατανάλωση'!G42*'Ενεργοί πελάτες'!AD68</f>
        <v>5250</v>
      </c>
      <c r="AC70" s="167">
        <f t="shared" si="284"/>
        <v>8615</v>
      </c>
      <c r="AD70" s="167">
        <f t="shared" ref="AD70" si="351">AB70+AC70</f>
        <v>13865</v>
      </c>
      <c r="AE70" s="6"/>
      <c r="AF70" s="167">
        <f t="shared" ref="AF70" si="352">AD70+AE70</f>
        <v>13865</v>
      </c>
      <c r="AG70" s="203">
        <f t="shared" ref="AG70" si="353">IFERROR((AF70-Z70)/Z70,0)</f>
        <v>0.60940220545560064</v>
      </c>
      <c r="AH70" s="206">
        <f>'Μέση ετήσια κατανάλωση'!G42*'Ενεργοί πελάτες'!AG68</f>
        <v>5250</v>
      </c>
      <c r="AI70" s="167">
        <f t="shared" si="288"/>
        <v>13865</v>
      </c>
      <c r="AJ70" s="167">
        <f t="shared" ref="AJ70" si="354">AH70+AI70</f>
        <v>19115</v>
      </c>
      <c r="AK70" s="6"/>
      <c r="AL70" s="167">
        <f t="shared" ref="AL70" si="355">AJ70+AK70</f>
        <v>19115</v>
      </c>
      <c r="AM70" s="203">
        <f t="shared" ref="AM70" si="356">IFERROR((AL70-AF70)/AF70,0)</f>
        <v>0.37865128020194733</v>
      </c>
      <c r="AN70" s="206">
        <f>'Μέση ετήσια κατανάλωση'!G42*'Ενεργοί πελάτες'!AJ68</f>
        <v>2625</v>
      </c>
      <c r="AO70" s="167">
        <f t="shared" si="292"/>
        <v>19115</v>
      </c>
      <c r="AP70" s="167">
        <f t="shared" ref="AP70" si="357">AN70+AO70</f>
        <v>21740</v>
      </c>
      <c r="AQ70" s="6"/>
      <c r="AR70" s="167">
        <f t="shared" ref="AR70" si="358">AP70+AQ70</f>
        <v>21740</v>
      </c>
      <c r="AS70" s="203">
        <f t="shared" ref="AS70" si="359">IFERROR((AR70-AL70)/AL70,0)</f>
        <v>0.1373267067747842</v>
      </c>
      <c r="AT70" s="198">
        <f t="shared" ref="AT70" si="360">T70+Z70+AF70+AL70+AR70</f>
        <v>64705</v>
      </c>
      <c r="AU70" s="199">
        <f t="shared" ref="AU70" si="361">IFERROR((AR70/T70)^(1/4)-1,0)</f>
        <v>0.99588145623801028</v>
      </c>
    </row>
    <row r="71" spans="2:47" ht="16.5" customHeight="1" outlineLevel="1" x14ac:dyDescent="0.25">
      <c r="B71" s="52" t="s">
        <v>290</v>
      </c>
      <c r="C71" s="64" t="s">
        <v>26</v>
      </c>
      <c r="D71" s="91">
        <v>0</v>
      </c>
      <c r="E71" s="91">
        <v>0</v>
      </c>
      <c r="F71" s="203">
        <f t="shared" ref="F71" si="362">IFERROR((E71-D71)/D71,0)</f>
        <v>0</v>
      </c>
      <c r="G71" s="91">
        <v>0</v>
      </c>
      <c r="H71" s="203">
        <f t="shared" ref="H71" si="363">IFERROR((G71-E71)/E71,0)</f>
        <v>0</v>
      </c>
      <c r="I71" s="91">
        <v>0</v>
      </c>
      <c r="J71" s="203">
        <f t="shared" ref="J71" si="364">IFERROR((I71-G71)/G71,0)</f>
        <v>0</v>
      </c>
      <c r="K71" s="91">
        <v>0</v>
      </c>
      <c r="L71" s="157"/>
      <c r="M71" s="71"/>
      <c r="N71" s="203">
        <f t="shared" ref="N71" si="365">IFERROR((M71-I71)/I71,0)</f>
        <v>0</v>
      </c>
      <c r="O71" s="198">
        <f t="shared" ref="O71" si="366">D71+E71+G71+I71+M71</f>
        <v>0</v>
      </c>
      <c r="P71" s="199">
        <f t="shared" ref="P71" si="367">IFERROR((M71/D71)^(1/4)-1,0)</f>
        <v>0</v>
      </c>
      <c r="R71" s="206">
        <f>'Μέση ετήσια κατανάλωση'!F43*'Ενεργοί πελάτες'!X69</f>
        <v>1810</v>
      </c>
      <c r="S71" s="6"/>
      <c r="T71" s="172">
        <f t="shared" ref="T71" si="368">R71+S71</f>
        <v>1810</v>
      </c>
      <c r="U71" s="228">
        <f t="shared" ref="U71" si="369">IFERROR((T71-M71)/M71,0)</f>
        <v>0</v>
      </c>
      <c r="V71" s="206">
        <f>'Μέση ετήσια κατανάλωση'!G43*'Ενεργοί πελάτες'!AA69</f>
        <v>6995</v>
      </c>
      <c r="W71" s="167">
        <f t="shared" si="281"/>
        <v>1810</v>
      </c>
      <c r="X71" s="167">
        <f t="shared" ref="X71" si="370">V71+W71</f>
        <v>8805</v>
      </c>
      <c r="Y71" s="6"/>
      <c r="Z71" s="167">
        <f t="shared" ref="Z71" si="371">X71+Y71</f>
        <v>8805</v>
      </c>
      <c r="AA71" s="203">
        <f t="shared" ref="AA71" si="372">IFERROR((Z71-T71)/T71,0)</f>
        <v>3.8646408839779007</v>
      </c>
      <c r="AB71" s="206">
        <f>'Μέση ετήσια κατανάλωση'!G43*'Ενεργοί πελάτες'!AD69</f>
        <v>6145</v>
      </c>
      <c r="AC71" s="167">
        <f t="shared" si="284"/>
        <v>8805</v>
      </c>
      <c r="AD71" s="167">
        <f t="shared" ref="AD71" si="373">AB71+AC71</f>
        <v>14950</v>
      </c>
      <c r="AE71" s="6"/>
      <c r="AF71" s="167">
        <f t="shared" ref="AF71" si="374">AD71+AE71</f>
        <v>14950</v>
      </c>
      <c r="AG71" s="203">
        <f t="shared" ref="AG71" si="375">IFERROR((AF71-Z71)/Z71,0)</f>
        <v>0.69789892106757523</v>
      </c>
      <c r="AH71" s="206">
        <f>'Μέση ετήσια κατανάλωση'!G43*'Ενεργοί πελάτες'!AG69</f>
        <v>5250</v>
      </c>
      <c r="AI71" s="167">
        <f t="shared" si="288"/>
        <v>14950</v>
      </c>
      <c r="AJ71" s="167">
        <f t="shared" ref="AJ71" si="376">AH71+AI71</f>
        <v>20200</v>
      </c>
      <c r="AK71" s="6"/>
      <c r="AL71" s="167">
        <f t="shared" ref="AL71" si="377">AJ71+AK71</f>
        <v>20200</v>
      </c>
      <c r="AM71" s="203">
        <f t="shared" ref="AM71" si="378">IFERROR((AL71-AF71)/AF71,0)</f>
        <v>0.3511705685618729</v>
      </c>
      <c r="AN71" s="206">
        <f>'Μέση ετήσια κατανάλωση'!G43*'Ενεργοί πελάτες'!AJ69</f>
        <v>2625</v>
      </c>
      <c r="AO71" s="167">
        <f t="shared" si="292"/>
        <v>20200</v>
      </c>
      <c r="AP71" s="167">
        <f t="shared" ref="AP71" si="379">AN71+AO71</f>
        <v>22825</v>
      </c>
      <c r="AQ71" s="6"/>
      <c r="AR71" s="167">
        <f t="shared" ref="AR71" si="380">AP71+AQ71</f>
        <v>22825</v>
      </c>
      <c r="AS71" s="203">
        <f t="shared" ref="AS71" si="381">IFERROR((AR71-AL71)/AL71,0)</f>
        <v>0.12995049504950495</v>
      </c>
      <c r="AT71" s="198">
        <f t="shared" ref="AT71" si="382">T71+Z71+AF71+AL71+AR71</f>
        <v>68590</v>
      </c>
      <c r="AU71" s="199">
        <f t="shared" ref="AU71" si="383">IFERROR((AR71/T71)^(1/4)-1,0)</f>
        <v>0.88444320499540141</v>
      </c>
    </row>
    <row r="72" spans="2:47" ht="16.5" customHeight="1" outlineLevel="1" x14ac:dyDescent="0.25">
      <c r="B72" s="52" t="s">
        <v>291</v>
      </c>
      <c r="C72" s="64" t="s">
        <v>26</v>
      </c>
      <c r="D72" s="91">
        <v>0</v>
      </c>
      <c r="E72" s="91">
        <v>0</v>
      </c>
      <c r="F72" s="203">
        <f t="shared" ref="F72:F78" si="384">IFERROR((E72-D72)/D72,0)</f>
        <v>0</v>
      </c>
      <c r="G72" s="91">
        <v>0</v>
      </c>
      <c r="H72" s="203">
        <f t="shared" ref="H72:H78" si="385">IFERROR((G72-E72)/E72,0)</f>
        <v>0</v>
      </c>
      <c r="I72" s="91">
        <v>0</v>
      </c>
      <c r="J72" s="203">
        <f t="shared" ref="J72:J78" si="386">IFERROR((I72-G72)/G72,0)</f>
        <v>0</v>
      </c>
      <c r="K72" s="91">
        <v>0</v>
      </c>
      <c r="L72" s="157"/>
      <c r="M72" s="71"/>
      <c r="N72" s="203">
        <f t="shared" ref="N72:N78" si="387">IFERROR((M72-I72)/I72,0)</f>
        <v>0</v>
      </c>
      <c r="O72" s="198">
        <f t="shared" ref="O72" si="388">D72+E72+G72+I72+M72</f>
        <v>0</v>
      </c>
      <c r="P72" s="199">
        <f t="shared" ref="P72:P78" si="389">IFERROR((M72/D72)^(1/4)-1,0)</f>
        <v>0</v>
      </c>
      <c r="R72" s="206">
        <f>'Μέση ετήσια κατανάλωση'!F44*'Ενεργοί πελάτες'!X70</f>
        <v>1470</v>
      </c>
      <c r="S72" s="6"/>
      <c r="T72" s="172">
        <f t="shared" ref="T72:T78" si="390">R72+S72</f>
        <v>1470</v>
      </c>
      <c r="U72" s="228">
        <f t="shared" ref="U72:U78" si="391">IFERROR((T72-M72)/M72,0)</f>
        <v>0</v>
      </c>
      <c r="V72" s="206">
        <f>'Μέση ετήσια κατανάλωση'!G44*'Ενεργοί πελάτες'!AA70</f>
        <v>1110</v>
      </c>
      <c r="W72" s="167">
        <f t="shared" si="281"/>
        <v>1470</v>
      </c>
      <c r="X72" s="167">
        <f t="shared" ref="X72:X75" si="392">V72+W72</f>
        <v>2580</v>
      </c>
      <c r="Y72" s="6"/>
      <c r="Z72" s="167">
        <f t="shared" ref="Z72:Z75" si="393">X72+Y72</f>
        <v>2580</v>
      </c>
      <c r="AA72" s="203">
        <f t="shared" ref="AA72:AA78" si="394">IFERROR((Z72-T72)/T72,0)</f>
        <v>0.75510204081632648</v>
      </c>
      <c r="AB72" s="206">
        <f>'Μέση ετήσια κατανάλωση'!G44*'Ενεργοί πελάτες'!AD70</f>
        <v>250</v>
      </c>
      <c r="AC72" s="167">
        <f t="shared" si="284"/>
        <v>2580</v>
      </c>
      <c r="AD72" s="167">
        <f t="shared" ref="AD72:AD75" si="395">AB72+AC72</f>
        <v>2830</v>
      </c>
      <c r="AE72" s="6"/>
      <c r="AF72" s="167">
        <f t="shared" ref="AF72:AF75" si="396">AD72+AE72</f>
        <v>2830</v>
      </c>
      <c r="AG72" s="203">
        <f t="shared" ref="AG72:AG78" si="397">IFERROR((AF72-Z72)/Z72,0)</f>
        <v>9.6899224806201556E-2</v>
      </c>
      <c r="AH72" s="206">
        <f>'Μέση ετήσια κατανάλωση'!G44*'Ενεργοί πελάτες'!AG70</f>
        <v>250</v>
      </c>
      <c r="AI72" s="167">
        <f t="shared" si="288"/>
        <v>2830</v>
      </c>
      <c r="AJ72" s="167">
        <f t="shared" ref="AJ72:AJ75" si="398">AH72+AI72</f>
        <v>3080</v>
      </c>
      <c r="AK72" s="6"/>
      <c r="AL72" s="167">
        <f t="shared" ref="AL72:AL75" si="399">AJ72+AK72</f>
        <v>3080</v>
      </c>
      <c r="AM72" s="203">
        <f t="shared" ref="AM72:AM78" si="400">IFERROR((AL72-AF72)/AF72,0)</f>
        <v>8.8339222614840993E-2</v>
      </c>
      <c r="AN72" s="206">
        <f>'Μέση ετήσια κατανάλωση'!G44*'Ενεργοί πελάτες'!AJ70</f>
        <v>170</v>
      </c>
      <c r="AO72" s="167">
        <f t="shared" si="292"/>
        <v>3080</v>
      </c>
      <c r="AP72" s="167">
        <f t="shared" ref="AP72:AP75" si="401">AN72+AO72</f>
        <v>3250</v>
      </c>
      <c r="AQ72" s="6"/>
      <c r="AR72" s="167">
        <f t="shared" ref="AR72:AR75" si="402">AP72+AQ72</f>
        <v>3250</v>
      </c>
      <c r="AS72" s="203">
        <f t="shared" ref="AS72:AS78" si="403">IFERROR((AR72-AL72)/AL72,0)</f>
        <v>5.5194805194805192E-2</v>
      </c>
      <c r="AT72" s="198">
        <f t="shared" ref="AT72:AT75" si="404">T72+Z72+AF72+AL72+AR72</f>
        <v>13210</v>
      </c>
      <c r="AU72" s="199">
        <f t="shared" ref="AU72:AU78" si="405">IFERROR((AR72/T72)^(1/4)-1,0)</f>
        <v>0.21938684810561737</v>
      </c>
    </row>
    <row r="73" spans="2:47" ht="16.5" customHeight="1" outlineLevel="1" x14ac:dyDescent="0.25">
      <c r="B73" s="52" t="s">
        <v>307</v>
      </c>
      <c r="C73" s="64" t="s">
        <v>26</v>
      </c>
      <c r="D73" s="91"/>
      <c r="E73" s="91"/>
      <c r="F73" s="203">
        <f t="shared" si="384"/>
        <v>0</v>
      </c>
      <c r="G73" s="91"/>
      <c r="H73" s="203">
        <f t="shared" si="385"/>
        <v>0</v>
      </c>
      <c r="I73" s="91"/>
      <c r="J73" s="203">
        <f t="shared" si="386"/>
        <v>0</v>
      </c>
      <c r="K73" s="91"/>
      <c r="L73" s="157"/>
      <c r="M73" s="71"/>
      <c r="N73" s="203">
        <f t="shared" si="387"/>
        <v>0</v>
      </c>
      <c r="O73" s="198"/>
      <c r="P73" s="199">
        <f t="shared" si="389"/>
        <v>0</v>
      </c>
      <c r="R73" s="206">
        <f>'Μέση ετήσια κατανάλωση'!F45*'Ενεργοί πελάτες'!X71</f>
        <v>275</v>
      </c>
      <c r="S73" s="6"/>
      <c r="T73" s="172">
        <f t="shared" si="390"/>
        <v>275</v>
      </c>
      <c r="U73" s="228">
        <f t="shared" si="391"/>
        <v>0</v>
      </c>
      <c r="V73" s="206">
        <f>'Μέση ετήσια κατανάλωση'!G45*'Ενεργοί πελάτες'!AA71</f>
        <v>425</v>
      </c>
      <c r="W73" s="167">
        <f t="shared" ref="W73:W77" si="406">R73</f>
        <v>275</v>
      </c>
      <c r="X73" s="167">
        <f t="shared" si="392"/>
        <v>700</v>
      </c>
      <c r="Y73" s="6"/>
      <c r="Z73" s="167">
        <f t="shared" si="393"/>
        <v>700</v>
      </c>
      <c r="AA73" s="203">
        <f t="shared" si="394"/>
        <v>1.5454545454545454</v>
      </c>
      <c r="AB73" s="206">
        <f>'Μέση ετήσια κατανάλωση'!G45*'Ενεργοί πελάτες'!AD71</f>
        <v>450</v>
      </c>
      <c r="AC73" s="167">
        <f t="shared" ref="AC73:AC77" si="407">X73</f>
        <v>700</v>
      </c>
      <c r="AD73" s="167">
        <f t="shared" si="395"/>
        <v>1150</v>
      </c>
      <c r="AE73" s="6"/>
      <c r="AF73" s="167">
        <f t="shared" si="396"/>
        <v>1150</v>
      </c>
      <c r="AG73" s="203">
        <f t="shared" si="397"/>
        <v>0.6428571428571429</v>
      </c>
      <c r="AH73" s="206">
        <f>'Μέση ετήσια κατανάλωση'!G45*'Ενεργοί πελάτες'!AG71</f>
        <v>275</v>
      </c>
      <c r="AI73" s="167">
        <f t="shared" ref="AI73:AI77" si="408">AD73</f>
        <v>1150</v>
      </c>
      <c r="AJ73" s="167">
        <f t="shared" si="398"/>
        <v>1425</v>
      </c>
      <c r="AK73" s="6"/>
      <c r="AL73" s="167">
        <f t="shared" si="399"/>
        <v>1425</v>
      </c>
      <c r="AM73" s="203">
        <f t="shared" si="400"/>
        <v>0.2391304347826087</v>
      </c>
      <c r="AN73" s="206">
        <f>'Μέση ετήσια κατανάλωση'!G45*'Ενεργοί πελάτες'!AJ71</f>
        <v>225</v>
      </c>
      <c r="AO73" s="167">
        <f t="shared" ref="AO73:AO77" si="409">AJ73</f>
        <v>1425</v>
      </c>
      <c r="AP73" s="167">
        <f t="shared" si="401"/>
        <v>1650</v>
      </c>
      <c r="AQ73" s="6"/>
      <c r="AR73" s="167">
        <f t="shared" si="402"/>
        <v>1650</v>
      </c>
      <c r="AS73" s="203">
        <f t="shared" si="403"/>
        <v>0.15789473684210525</v>
      </c>
      <c r="AT73" s="198">
        <f t="shared" si="404"/>
        <v>5200</v>
      </c>
      <c r="AU73" s="199">
        <f t="shared" si="405"/>
        <v>0.56508458007328732</v>
      </c>
    </row>
    <row r="74" spans="2:47" ht="16.5" customHeight="1" outlineLevel="1" x14ac:dyDescent="0.25">
      <c r="B74" s="52" t="s">
        <v>304</v>
      </c>
      <c r="C74" s="64" t="s">
        <v>26</v>
      </c>
      <c r="D74" s="91"/>
      <c r="E74" s="91"/>
      <c r="F74" s="203">
        <f t="shared" si="384"/>
        <v>0</v>
      </c>
      <c r="G74" s="91"/>
      <c r="H74" s="203">
        <f t="shared" si="385"/>
        <v>0</v>
      </c>
      <c r="I74" s="91"/>
      <c r="J74" s="203">
        <f t="shared" si="386"/>
        <v>0</v>
      </c>
      <c r="K74" s="91"/>
      <c r="L74" s="157"/>
      <c r="M74" s="71"/>
      <c r="N74" s="203">
        <f t="shared" si="387"/>
        <v>0</v>
      </c>
      <c r="O74" s="198"/>
      <c r="P74" s="199">
        <f t="shared" si="389"/>
        <v>0</v>
      </c>
      <c r="R74" s="206">
        <f>'Μέση ετήσια κατανάλωση'!F46*'Ενεργοί πελάτες'!X72</f>
        <v>275</v>
      </c>
      <c r="S74" s="6"/>
      <c r="T74" s="172">
        <f t="shared" si="390"/>
        <v>275</v>
      </c>
      <c r="U74" s="228">
        <f t="shared" si="391"/>
        <v>0</v>
      </c>
      <c r="V74" s="206">
        <f>'Μέση ετήσια κατανάλωση'!G46*'Ενεργοί πελάτες'!AA72</f>
        <v>425</v>
      </c>
      <c r="W74" s="167">
        <f t="shared" si="406"/>
        <v>275</v>
      </c>
      <c r="X74" s="167">
        <f t="shared" si="392"/>
        <v>700</v>
      </c>
      <c r="Y74" s="6"/>
      <c r="Z74" s="167">
        <f t="shared" si="393"/>
        <v>700</v>
      </c>
      <c r="AA74" s="203">
        <f t="shared" si="394"/>
        <v>1.5454545454545454</v>
      </c>
      <c r="AB74" s="206">
        <f>'Μέση ετήσια κατανάλωση'!G46*'Ενεργοί πελάτες'!AD72</f>
        <v>700</v>
      </c>
      <c r="AC74" s="167">
        <f t="shared" si="407"/>
        <v>700</v>
      </c>
      <c r="AD74" s="167">
        <f t="shared" si="395"/>
        <v>1400</v>
      </c>
      <c r="AE74" s="6"/>
      <c r="AF74" s="167">
        <f t="shared" si="396"/>
        <v>1400</v>
      </c>
      <c r="AG74" s="203">
        <f t="shared" si="397"/>
        <v>1</v>
      </c>
      <c r="AH74" s="206">
        <f>'Μέση ετήσια κατανάλωση'!G46*'Ενεργοί πελάτες'!AG72</f>
        <v>325</v>
      </c>
      <c r="AI74" s="167">
        <f t="shared" si="408"/>
        <v>1400</v>
      </c>
      <c r="AJ74" s="167">
        <f t="shared" si="398"/>
        <v>1725</v>
      </c>
      <c r="AK74" s="6"/>
      <c r="AL74" s="167">
        <f t="shared" si="399"/>
        <v>1725</v>
      </c>
      <c r="AM74" s="203">
        <f t="shared" si="400"/>
        <v>0.23214285714285715</v>
      </c>
      <c r="AN74" s="206">
        <f>'Μέση ετήσια κατανάλωση'!G46*'Ενεργοί πελάτες'!AJ72</f>
        <v>225</v>
      </c>
      <c r="AO74" s="167">
        <f t="shared" si="409"/>
        <v>1725</v>
      </c>
      <c r="AP74" s="167">
        <f t="shared" si="401"/>
        <v>1950</v>
      </c>
      <c r="AQ74" s="6"/>
      <c r="AR74" s="167">
        <f t="shared" si="402"/>
        <v>1950</v>
      </c>
      <c r="AS74" s="203">
        <f t="shared" si="403"/>
        <v>0.13043478260869565</v>
      </c>
      <c r="AT74" s="198">
        <f t="shared" si="404"/>
        <v>6050</v>
      </c>
      <c r="AU74" s="199">
        <f t="shared" si="405"/>
        <v>0.63183212794569754</v>
      </c>
    </row>
    <row r="75" spans="2:47" ht="16.5" customHeight="1" outlineLevel="1" x14ac:dyDescent="0.25">
      <c r="B75" s="52" t="s">
        <v>305</v>
      </c>
      <c r="C75" s="64" t="s">
        <v>26</v>
      </c>
      <c r="D75" s="91"/>
      <c r="E75" s="91"/>
      <c r="F75" s="203">
        <f t="shared" si="384"/>
        <v>0</v>
      </c>
      <c r="G75" s="91"/>
      <c r="H75" s="203">
        <f t="shared" si="385"/>
        <v>0</v>
      </c>
      <c r="I75" s="91"/>
      <c r="J75" s="203">
        <f t="shared" si="386"/>
        <v>0</v>
      </c>
      <c r="K75" s="91"/>
      <c r="L75" s="157"/>
      <c r="M75" s="71"/>
      <c r="N75" s="203">
        <f t="shared" si="387"/>
        <v>0</v>
      </c>
      <c r="O75" s="198"/>
      <c r="P75" s="199">
        <f t="shared" si="389"/>
        <v>0</v>
      </c>
      <c r="R75" s="206">
        <f>'Μέση ετήσια κατανάλωση'!F47*'Ενεργοί πελάτες'!X73</f>
        <v>275</v>
      </c>
      <c r="S75" s="6"/>
      <c r="T75" s="172">
        <f t="shared" si="390"/>
        <v>275</v>
      </c>
      <c r="U75" s="228">
        <f t="shared" si="391"/>
        <v>0</v>
      </c>
      <c r="V75" s="206">
        <f>'Μέση ετήσια κατανάλωση'!G47*'Ενεργοί πελάτες'!AA73</f>
        <v>425</v>
      </c>
      <c r="W75" s="167">
        <f t="shared" si="406"/>
        <v>275</v>
      </c>
      <c r="X75" s="167">
        <f t="shared" si="392"/>
        <v>700</v>
      </c>
      <c r="Y75" s="6"/>
      <c r="Z75" s="167">
        <f t="shared" si="393"/>
        <v>700</v>
      </c>
      <c r="AA75" s="203">
        <f t="shared" si="394"/>
        <v>1.5454545454545454</v>
      </c>
      <c r="AB75" s="206">
        <f>'Μέση ετήσια κατανάλωση'!G47*'Ενεργοί πελάτες'!AD73</f>
        <v>600</v>
      </c>
      <c r="AC75" s="167">
        <f t="shared" si="407"/>
        <v>700</v>
      </c>
      <c r="AD75" s="167">
        <f t="shared" si="395"/>
        <v>1300</v>
      </c>
      <c r="AE75" s="6"/>
      <c r="AF75" s="167">
        <f t="shared" si="396"/>
        <v>1300</v>
      </c>
      <c r="AG75" s="203">
        <f t="shared" si="397"/>
        <v>0.8571428571428571</v>
      </c>
      <c r="AH75" s="206">
        <f>'Μέση ετήσια κατανάλωση'!G47*'Ενεργοί πελάτες'!AG73</f>
        <v>275</v>
      </c>
      <c r="AI75" s="167">
        <f t="shared" si="408"/>
        <v>1300</v>
      </c>
      <c r="AJ75" s="167">
        <f t="shared" si="398"/>
        <v>1575</v>
      </c>
      <c r="AK75" s="6"/>
      <c r="AL75" s="167">
        <f t="shared" si="399"/>
        <v>1575</v>
      </c>
      <c r="AM75" s="203">
        <f t="shared" si="400"/>
        <v>0.21153846153846154</v>
      </c>
      <c r="AN75" s="206">
        <f>'Μέση ετήσια κατανάλωση'!G47*'Ενεργοί πελάτες'!AJ73</f>
        <v>225</v>
      </c>
      <c r="AO75" s="167">
        <f t="shared" si="409"/>
        <v>1575</v>
      </c>
      <c r="AP75" s="167">
        <f t="shared" si="401"/>
        <v>1800</v>
      </c>
      <c r="AQ75" s="6"/>
      <c r="AR75" s="167">
        <f t="shared" si="402"/>
        <v>1800</v>
      </c>
      <c r="AS75" s="203">
        <f t="shared" si="403"/>
        <v>0.14285714285714285</v>
      </c>
      <c r="AT75" s="198">
        <f t="shared" si="404"/>
        <v>5650</v>
      </c>
      <c r="AU75" s="199">
        <f t="shared" si="405"/>
        <v>0.59950260902173125</v>
      </c>
    </row>
    <row r="76" spans="2:47" ht="16.5" customHeight="1" outlineLevel="1" x14ac:dyDescent="0.25">
      <c r="B76" s="52" t="s">
        <v>306</v>
      </c>
      <c r="C76" s="64" t="s">
        <v>26</v>
      </c>
      <c r="D76" s="91"/>
      <c r="E76" s="91"/>
      <c r="F76" s="203">
        <f t="shared" si="384"/>
        <v>0</v>
      </c>
      <c r="G76" s="91"/>
      <c r="H76" s="203">
        <f t="shared" si="385"/>
        <v>0</v>
      </c>
      <c r="I76" s="91"/>
      <c r="J76" s="203">
        <f t="shared" si="386"/>
        <v>0</v>
      </c>
      <c r="K76" s="91"/>
      <c r="L76" s="157"/>
      <c r="M76" s="71"/>
      <c r="N76" s="203">
        <f t="shared" si="387"/>
        <v>0</v>
      </c>
      <c r="O76" s="198"/>
      <c r="P76" s="199">
        <f t="shared" si="389"/>
        <v>0</v>
      </c>
      <c r="R76" s="206">
        <f>'Μέση ετήσια κατανάλωση'!F48*'Ενεργοί πελάτες'!X74</f>
        <v>530</v>
      </c>
      <c r="S76" s="6"/>
      <c r="T76" s="172">
        <f t="shared" si="390"/>
        <v>530</v>
      </c>
      <c r="U76" s="228">
        <f t="shared" si="391"/>
        <v>0</v>
      </c>
      <c r="V76" s="206">
        <f>'Μέση ετήσια κατανάλωση'!G48*'Ενεργοί πελάτες'!AA74</f>
        <v>620</v>
      </c>
      <c r="W76" s="167">
        <f t="shared" si="406"/>
        <v>530</v>
      </c>
      <c r="X76" s="167">
        <f t="shared" ref="X76:X77" si="410">V76+W76</f>
        <v>1150</v>
      </c>
      <c r="Y76" s="6"/>
      <c r="Z76" s="167">
        <f t="shared" ref="Z76:Z77" si="411">X76+Y76</f>
        <v>1150</v>
      </c>
      <c r="AA76" s="203">
        <f t="shared" ref="AA76:AA77" si="412">IFERROR((Z76-T76)/T76,0)</f>
        <v>1.1698113207547169</v>
      </c>
      <c r="AB76" s="206">
        <f>'Μέση ετήσια κατανάλωση'!G48*'Ενεργοί πελάτες'!AD74</f>
        <v>810</v>
      </c>
      <c r="AC76" s="167">
        <f t="shared" si="407"/>
        <v>1150</v>
      </c>
      <c r="AD76" s="167">
        <f t="shared" ref="AD76:AD77" si="413">AB76+AC76</f>
        <v>1960</v>
      </c>
      <c r="AE76" s="6"/>
      <c r="AF76" s="167">
        <f t="shared" ref="AF76:AF77" si="414">AD76+AE76</f>
        <v>1960</v>
      </c>
      <c r="AG76" s="203">
        <f t="shared" ref="AG76:AG77" si="415">IFERROR((AF76-Z76)/Z76,0)</f>
        <v>0.70434782608695656</v>
      </c>
      <c r="AH76" s="206">
        <f>'Μέση ετήσια κατανάλωση'!G48*'Ενεργοί πελάτες'!AG74</f>
        <v>795</v>
      </c>
      <c r="AI76" s="167">
        <f t="shared" si="408"/>
        <v>1960</v>
      </c>
      <c r="AJ76" s="167">
        <f t="shared" ref="AJ76:AJ77" si="416">AH76+AI76</f>
        <v>2755</v>
      </c>
      <c r="AK76" s="6"/>
      <c r="AL76" s="167">
        <f t="shared" ref="AL76:AL77" si="417">AJ76+AK76</f>
        <v>2755</v>
      </c>
      <c r="AM76" s="203">
        <f t="shared" ref="AM76:AM77" si="418">IFERROR((AL76-AF76)/AF76,0)</f>
        <v>0.40561224489795916</v>
      </c>
      <c r="AN76" s="206">
        <f>'Μέση ετήσια κατανάλωση'!G48*'Ενεργοί πελάτες'!AJ74</f>
        <v>500</v>
      </c>
      <c r="AO76" s="167">
        <f t="shared" si="409"/>
        <v>2755</v>
      </c>
      <c r="AP76" s="167">
        <f t="shared" ref="AP76:AP77" si="419">AN76+AO76</f>
        <v>3255</v>
      </c>
      <c r="AQ76" s="6"/>
      <c r="AR76" s="167">
        <f t="shared" ref="AR76:AR77" si="420">AP76+AQ76</f>
        <v>3255</v>
      </c>
      <c r="AS76" s="203">
        <f t="shared" ref="AS76:AS77" si="421">IFERROR((AR76-AL76)/AL76,0)</f>
        <v>0.18148820326678766</v>
      </c>
      <c r="AT76" s="198">
        <f t="shared" ref="AT76:AT77" si="422">T76+Z76+AF76+AL76+AR76</f>
        <v>9650</v>
      </c>
      <c r="AU76" s="199">
        <f t="shared" ref="AU76:AU77" si="423">IFERROR((AR76/T76)^(1/4)-1,0)</f>
        <v>0.57423216170350977</v>
      </c>
    </row>
    <row r="77" spans="2:47" ht="16.5" customHeight="1" outlineLevel="1" x14ac:dyDescent="0.25">
      <c r="B77" s="52" t="s">
        <v>308</v>
      </c>
      <c r="C77" s="64" t="s">
        <v>26</v>
      </c>
      <c r="D77" s="91"/>
      <c r="E77" s="91"/>
      <c r="F77" s="203">
        <f t="shared" si="384"/>
        <v>0</v>
      </c>
      <c r="G77" s="91"/>
      <c r="H77" s="203">
        <f t="shared" si="385"/>
        <v>0</v>
      </c>
      <c r="I77" s="91"/>
      <c r="J77" s="203">
        <f t="shared" si="386"/>
        <v>0</v>
      </c>
      <c r="K77" s="91"/>
      <c r="L77" s="157"/>
      <c r="M77" s="71"/>
      <c r="N77" s="203">
        <f t="shared" si="387"/>
        <v>0</v>
      </c>
      <c r="O77" s="198"/>
      <c r="P77" s="199">
        <f t="shared" si="389"/>
        <v>0</v>
      </c>
      <c r="R77" s="206">
        <f>'Μέση ετήσια κατανάλωση'!F49*'Ενεργοί πελάτες'!X75</f>
        <v>425</v>
      </c>
      <c r="S77" s="6"/>
      <c r="T77" s="172">
        <f t="shared" si="390"/>
        <v>425</v>
      </c>
      <c r="U77" s="228">
        <f t="shared" si="391"/>
        <v>0</v>
      </c>
      <c r="V77" s="206">
        <f>'Μέση ετήσια κατανάλωση'!G49*'Ενεργοί πελάτες'!AA75</f>
        <v>500</v>
      </c>
      <c r="W77" s="167">
        <f t="shared" si="406"/>
        <v>425</v>
      </c>
      <c r="X77" s="167">
        <f t="shared" si="410"/>
        <v>925</v>
      </c>
      <c r="Y77" s="6"/>
      <c r="Z77" s="167">
        <f t="shared" si="411"/>
        <v>925</v>
      </c>
      <c r="AA77" s="203">
        <f t="shared" si="412"/>
        <v>1.1764705882352942</v>
      </c>
      <c r="AB77" s="206">
        <f>'Μέση ετήσια κατανάλωση'!G49*'Ενεργοί πελάτες'!AD75</f>
        <v>610</v>
      </c>
      <c r="AC77" s="167">
        <f t="shared" si="407"/>
        <v>925</v>
      </c>
      <c r="AD77" s="167">
        <f t="shared" si="413"/>
        <v>1535</v>
      </c>
      <c r="AE77" s="6"/>
      <c r="AF77" s="167">
        <f t="shared" si="414"/>
        <v>1535</v>
      </c>
      <c r="AG77" s="203">
        <f t="shared" si="415"/>
        <v>0.6594594594594595</v>
      </c>
      <c r="AH77" s="206">
        <f>'Μέση ετήσια κατανάλωση'!G49*'Ενεργοί πελάτες'!AG75</f>
        <v>500</v>
      </c>
      <c r="AI77" s="167">
        <f t="shared" si="408"/>
        <v>1535</v>
      </c>
      <c r="AJ77" s="167">
        <f t="shared" si="416"/>
        <v>2035</v>
      </c>
      <c r="AK77" s="6"/>
      <c r="AL77" s="167">
        <f t="shared" si="417"/>
        <v>2035</v>
      </c>
      <c r="AM77" s="203">
        <f t="shared" si="418"/>
        <v>0.32573289902280128</v>
      </c>
      <c r="AN77" s="206">
        <f>'Μέση ετήσια κατανάλωση'!G49*'Ενεργοί πελάτες'!AJ75</f>
        <v>500</v>
      </c>
      <c r="AO77" s="167">
        <f t="shared" si="409"/>
        <v>2035</v>
      </c>
      <c r="AP77" s="167">
        <f t="shared" si="419"/>
        <v>2535</v>
      </c>
      <c r="AQ77" s="6"/>
      <c r="AR77" s="167">
        <f t="shared" si="420"/>
        <v>2535</v>
      </c>
      <c r="AS77" s="203">
        <f t="shared" si="421"/>
        <v>0.24570024570024571</v>
      </c>
      <c r="AT77" s="198">
        <f t="shared" si="422"/>
        <v>7455</v>
      </c>
      <c r="AU77" s="199">
        <f t="shared" si="423"/>
        <v>0.56277789056285377</v>
      </c>
    </row>
    <row r="78" spans="2:47" ht="16.5" customHeight="1" outlineLevel="1" x14ac:dyDescent="0.25">
      <c r="B78" s="52"/>
      <c r="C78" s="64"/>
      <c r="D78" s="91"/>
      <c r="E78" s="91"/>
      <c r="F78" s="203">
        <f t="shared" si="384"/>
        <v>0</v>
      </c>
      <c r="G78" s="91"/>
      <c r="H78" s="203">
        <f t="shared" si="385"/>
        <v>0</v>
      </c>
      <c r="I78" s="91"/>
      <c r="J78" s="203">
        <f t="shared" si="386"/>
        <v>0</v>
      </c>
      <c r="K78" s="91"/>
      <c r="L78" s="157"/>
      <c r="M78" s="71"/>
      <c r="N78" s="203">
        <f t="shared" si="387"/>
        <v>0</v>
      </c>
      <c r="O78" s="198"/>
      <c r="P78" s="199">
        <f t="shared" si="389"/>
        <v>0</v>
      </c>
      <c r="R78" s="206">
        <f>'Μέση ετήσια κατανάλωση'!F50*'Ενεργοί πελάτες'!X76</f>
        <v>0</v>
      </c>
      <c r="S78" s="6"/>
      <c r="T78" s="172">
        <f t="shared" si="390"/>
        <v>0</v>
      </c>
      <c r="U78" s="228">
        <f t="shared" si="391"/>
        <v>0</v>
      </c>
      <c r="V78" s="206"/>
      <c r="W78" s="167"/>
      <c r="X78" s="167"/>
      <c r="Y78" s="6"/>
      <c r="Z78" s="167"/>
      <c r="AA78" s="203">
        <f t="shared" si="394"/>
        <v>0</v>
      </c>
      <c r="AB78" s="206"/>
      <c r="AC78" s="167"/>
      <c r="AD78" s="167"/>
      <c r="AE78" s="6"/>
      <c r="AF78" s="167"/>
      <c r="AG78" s="203">
        <f t="shared" si="397"/>
        <v>0</v>
      </c>
      <c r="AH78" s="206"/>
      <c r="AI78" s="167"/>
      <c r="AJ78" s="167"/>
      <c r="AK78" s="6"/>
      <c r="AL78" s="167"/>
      <c r="AM78" s="203">
        <f t="shared" si="400"/>
        <v>0</v>
      </c>
      <c r="AN78" s="206"/>
      <c r="AO78" s="167"/>
      <c r="AP78" s="167"/>
      <c r="AQ78" s="6"/>
      <c r="AR78" s="167"/>
      <c r="AS78" s="203">
        <f t="shared" si="403"/>
        <v>0</v>
      </c>
      <c r="AT78" s="198"/>
      <c r="AU78" s="199">
        <f t="shared" si="405"/>
        <v>0</v>
      </c>
    </row>
    <row r="79" spans="2:47" ht="15" customHeight="1" outlineLevel="1" x14ac:dyDescent="0.25">
      <c r="B79" s="349" t="s">
        <v>90</v>
      </c>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97"/>
    </row>
    <row r="80" spans="2:47" ht="15" customHeight="1" outlineLevel="1" x14ac:dyDescent="0.25">
      <c r="B80" s="52" t="s">
        <v>82</v>
      </c>
      <c r="C80" s="49" t="s">
        <v>26</v>
      </c>
      <c r="D80" s="231">
        <f>SUM(D64:D78)</f>
        <v>0</v>
      </c>
      <c r="E80" s="207">
        <f>SUM(E64:E78)</f>
        <v>0</v>
      </c>
      <c r="F80" s="202">
        <f>IFERROR((E80-D80)/D80,0)</f>
        <v>0</v>
      </c>
      <c r="G80" s="207">
        <f>SUM(G64:G78)</f>
        <v>0</v>
      </c>
      <c r="H80" s="202">
        <f t="shared" si="277"/>
        <v>0</v>
      </c>
      <c r="I80" s="207">
        <f>SUM(I64:I78)</f>
        <v>0</v>
      </c>
      <c r="J80" s="202">
        <f t="shared" si="278"/>
        <v>0</v>
      </c>
      <c r="K80" s="207">
        <f>SUM(K64:K78)</f>
        <v>0</v>
      </c>
      <c r="L80" s="159"/>
      <c r="M80" s="207">
        <f>SUM(M64:M78)</f>
        <v>0</v>
      </c>
      <c r="N80" s="202">
        <f t="shared" si="279"/>
        <v>0</v>
      </c>
      <c r="O80" s="218">
        <f>SUM(O64:O78)</f>
        <v>0</v>
      </c>
      <c r="P80" s="199">
        <f>IFERROR((M80/D80)^(1/4)-1,0)</f>
        <v>0</v>
      </c>
      <c r="R80" s="207">
        <f>SUM(R64:R78)</f>
        <v>11535</v>
      </c>
      <c r="S80" s="187">
        <f>SUM(S64:S78)</f>
        <v>0</v>
      </c>
      <c r="T80" s="187">
        <f>SUM(T64:T78)</f>
        <v>11535</v>
      </c>
      <c r="U80" s="202">
        <f>IFERROR((T80-M80)/M80,0)</f>
        <v>0</v>
      </c>
      <c r="V80" s="207">
        <f>SUM(V64:V78)</f>
        <v>33320</v>
      </c>
      <c r="W80" s="172">
        <f>SUM(W64:W78)</f>
        <v>11535</v>
      </c>
      <c r="X80" s="172">
        <f>SUM(X64:X78)</f>
        <v>44855</v>
      </c>
      <c r="Y80" s="172">
        <f>SUM(Y64:Y78)</f>
        <v>0</v>
      </c>
      <c r="Z80" s="172">
        <f>SUM(Z64:Z78)</f>
        <v>44855</v>
      </c>
      <c r="AA80" s="202">
        <f>IFERROR((Z80-T80)/T80,0)</f>
        <v>2.8885999133073255</v>
      </c>
      <c r="AB80" s="207">
        <f>SUM(AB64:AB78)</f>
        <v>27045</v>
      </c>
      <c r="AC80" s="172">
        <f>SUM(AC64:AC78)</f>
        <v>44855</v>
      </c>
      <c r="AD80" s="172">
        <f>SUM(AD64:AD78)</f>
        <v>71900</v>
      </c>
      <c r="AE80" s="172">
        <f>SUM(AE64:AE78)</f>
        <v>0</v>
      </c>
      <c r="AF80" s="172">
        <f>SUM(AF64:AF78)</f>
        <v>71900</v>
      </c>
      <c r="AG80" s="202">
        <f t="shared" si="287"/>
        <v>0.6029428157396054</v>
      </c>
      <c r="AH80" s="207">
        <f>SUM(AH64:AH78)</f>
        <v>18945</v>
      </c>
      <c r="AI80" s="172">
        <f>SUM(AI64:AI78)</f>
        <v>71900</v>
      </c>
      <c r="AJ80" s="172">
        <f>SUM(AJ64:AJ78)</f>
        <v>90845</v>
      </c>
      <c r="AK80" s="172">
        <f>SUM(AK64:AK78)</f>
        <v>0</v>
      </c>
      <c r="AL80" s="172">
        <f>SUM(AL64:AL78)</f>
        <v>90845</v>
      </c>
      <c r="AM80" s="202">
        <f t="shared" si="291"/>
        <v>0.26349095966620306</v>
      </c>
      <c r="AN80" s="207">
        <f>SUM(AN64:AN78)</f>
        <v>10020</v>
      </c>
      <c r="AO80" s="172">
        <f>SUM(AO64:AO78)</f>
        <v>90845</v>
      </c>
      <c r="AP80" s="172">
        <f>SUM(AP64:AP78)</f>
        <v>100865</v>
      </c>
      <c r="AQ80" s="172">
        <f>SUM(AQ64:AQ78)</f>
        <v>0</v>
      </c>
      <c r="AR80" s="172">
        <f>SUM(AR64:AR78)</f>
        <v>100865</v>
      </c>
      <c r="AS80" s="202">
        <f>IFERROR((AR80-AL80)/AL80,0)</f>
        <v>0.11029775992074413</v>
      </c>
      <c r="AT80" s="218">
        <f>SUM(AT64:AT78)</f>
        <v>320000</v>
      </c>
      <c r="AU80" s="199">
        <f>IFERROR((AR80/T80)^(1/4)-1,0)</f>
        <v>0.7196130152290392</v>
      </c>
    </row>
    <row r="81" spans="2:47" ht="15" customHeight="1" x14ac:dyDescent="0.25"/>
    <row r="82" spans="2:47" ht="15.75" x14ac:dyDescent="0.25">
      <c r="B82" s="352" t="s">
        <v>206</v>
      </c>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row>
    <row r="83" spans="2:47" ht="5.45" customHeight="1" outlineLevel="1" x14ac:dyDescent="0.2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row>
    <row r="84" spans="2:47" outlineLevel="1" x14ac:dyDescent="0.25">
      <c r="B84" s="393"/>
      <c r="C84" s="396" t="s">
        <v>20</v>
      </c>
      <c r="D84" s="372" t="s">
        <v>262</v>
      </c>
      <c r="E84" s="373"/>
      <c r="F84" s="373"/>
      <c r="G84" s="373"/>
      <c r="H84" s="373"/>
      <c r="I84" s="373"/>
      <c r="J84" s="373"/>
      <c r="K84" s="373"/>
      <c r="L84" s="374"/>
      <c r="M84" s="372" t="s">
        <v>260</v>
      </c>
      <c r="N84" s="374"/>
      <c r="O84" s="388" t="str">
        <f xml:space="preserve"> D85&amp;" - "&amp;M85</f>
        <v>2018 - 2022</v>
      </c>
      <c r="P84" s="398"/>
      <c r="R84" s="372" t="s">
        <v>261</v>
      </c>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4"/>
    </row>
    <row r="85" spans="2:47" outlineLevel="1" x14ac:dyDescent="0.25">
      <c r="B85" s="394"/>
      <c r="C85" s="396"/>
      <c r="D85" s="88">
        <f>$C$3-5</f>
        <v>2018</v>
      </c>
      <c r="E85" s="372">
        <f>$C$3-4</f>
        <v>2019</v>
      </c>
      <c r="F85" s="374"/>
      <c r="G85" s="372">
        <f>$C$3-3</f>
        <v>2020</v>
      </c>
      <c r="H85" s="374"/>
      <c r="I85" s="372">
        <f>$C$3-2</f>
        <v>2021</v>
      </c>
      <c r="J85" s="374"/>
      <c r="K85" s="372" t="str">
        <f>$C$3-1&amp;""&amp;" ("&amp;"Σεπτ"&amp;")"</f>
        <v>2022 (Σεπτ)</v>
      </c>
      <c r="L85" s="374"/>
      <c r="M85" s="372">
        <f>$C$3-1</f>
        <v>2022</v>
      </c>
      <c r="N85" s="374"/>
      <c r="O85" s="390"/>
      <c r="P85" s="399"/>
      <c r="R85" s="416">
        <f>$C$3</f>
        <v>2023</v>
      </c>
      <c r="S85" s="403"/>
      <c r="T85" s="403"/>
      <c r="U85" s="418"/>
      <c r="V85" s="416">
        <f>$C$3+1</f>
        <v>2024</v>
      </c>
      <c r="W85" s="403"/>
      <c r="X85" s="403"/>
      <c r="Y85" s="403"/>
      <c r="Z85" s="403"/>
      <c r="AA85" s="418"/>
      <c r="AB85" s="372">
        <f>$C$3+2</f>
        <v>2025</v>
      </c>
      <c r="AC85" s="373"/>
      <c r="AD85" s="373"/>
      <c r="AE85" s="373"/>
      <c r="AF85" s="373"/>
      <c r="AG85" s="374"/>
      <c r="AH85" s="372">
        <f>$C$3+3</f>
        <v>2026</v>
      </c>
      <c r="AI85" s="373"/>
      <c r="AJ85" s="373"/>
      <c r="AK85" s="373"/>
      <c r="AL85" s="373"/>
      <c r="AM85" s="374"/>
      <c r="AN85" s="372">
        <f>$C$3+4</f>
        <v>2027</v>
      </c>
      <c r="AO85" s="373"/>
      <c r="AP85" s="373"/>
      <c r="AQ85" s="373"/>
      <c r="AR85" s="373"/>
      <c r="AS85" s="374"/>
      <c r="AT85" s="376" t="str">
        <f>R85&amp;" - "&amp;AN85</f>
        <v>2023 - 2027</v>
      </c>
      <c r="AU85" s="392"/>
    </row>
    <row r="86" spans="2:47" ht="15" customHeight="1" outlineLevel="1" x14ac:dyDescent="0.25">
      <c r="B86" s="394"/>
      <c r="C86" s="396"/>
      <c r="D86" s="419" t="s">
        <v>142</v>
      </c>
      <c r="E86" s="421" t="s">
        <v>142</v>
      </c>
      <c r="F86" s="423" t="s">
        <v>81</v>
      </c>
      <c r="G86" s="421" t="s">
        <v>142</v>
      </c>
      <c r="H86" s="423" t="s">
        <v>81</v>
      </c>
      <c r="I86" s="421" t="s">
        <v>142</v>
      </c>
      <c r="J86" s="427" t="s">
        <v>81</v>
      </c>
      <c r="K86" s="421" t="s">
        <v>142</v>
      </c>
      <c r="L86" s="427" t="s">
        <v>81</v>
      </c>
      <c r="M86" s="421" t="s">
        <v>142</v>
      </c>
      <c r="N86" s="427" t="s">
        <v>81</v>
      </c>
      <c r="O86" s="421" t="s">
        <v>17</v>
      </c>
      <c r="P86" s="425" t="s">
        <v>83</v>
      </c>
      <c r="R86" s="421" t="str">
        <f>"Διανεμόμενες ποσότητες σε πελάτες που συνδέθηκαν το "&amp;R85</f>
        <v>Διανεμόμενες ποσότητες σε πελάτες που συνδέθηκαν το 2023</v>
      </c>
      <c r="S86" s="417" t="s">
        <v>146</v>
      </c>
      <c r="T86" s="417" t="s">
        <v>143</v>
      </c>
      <c r="U86" s="415" t="s">
        <v>81</v>
      </c>
      <c r="V86" s="416" t="s">
        <v>144</v>
      </c>
      <c r="W86" s="403"/>
      <c r="X86" s="403"/>
      <c r="Y86" s="417" t="s">
        <v>146</v>
      </c>
      <c r="Z86" s="417" t="s">
        <v>143</v>
      </c>
      <c r="AA86" s="418" t="s">
        <v>81</v>
      </c>
      <c r="AB86" s="416" t="s">
        <v>144</v>
      </c>
      <c r="AC86" s="403"/>
      <c r="AD86" s="403"/>
      <c r="AE86" s="417" t="s">
        <v>146</v>
      </c>
      <c r="AF86" s="417" t="s">
        <v>143</v>
      </c>
      <c r="AG86" s="418" t="s">
        <v>81</v>
      </c>
      <c r="AH86" s="416" t="s">
        <v>144</v>
      </c>
      <c r="AI86" s="403"/>
      <c r="AJ86" s="403"/>
      <c r="AK86" s="417" t="s">
        <v>146</v>
      </c>
      <c r="AL86" s="417" t="s">
        <v>143</v>
      </c>
      <c r="AM86" s="418" t="s">
        <v>81</v>
      </c>
      <c r="AN86" s="416" t="s">
        <v>144</v>
      </c>
      <c r="AO86" s="403"/>
      <c r="AP86" s="403"/>
      <c r="AQ86" s="417" t="s">
        <v>146</v>
      </c>
      <c r="AR86" s="417" t="s">
        <v>143</v>
      </c>
      <c r="AS86" s="418" t="s">
        <v>81</v>
      </c>
      <c r="AT86" s="430" t="s">
        <v>17</v>
      </c>
      <c r="AU86" s="428" t="s">
        <v>83</v>
      </c>
    </row>
    <row r="87" spans="2:47" ht="60" outlineLevel="1" x14ac:dyDescent="0.25">
      <c r="B87" s="395"/>
      <c r="C87" s="396"/>
      <c r="D87" s="420"/>
      <c r="E87" s="422"/>
      <c r="F87" s="424"/>
      <c r="G87" s="422"/>
      <c r="H87" s="424"/>
      <c r="I87" s="422"/>
      <c r="J87" s="380"/>
      <c r="K87" s="422"/>
      <c r="L87" s="380"/>
      <c r="M87" s="422"/>
      <c r="N87" s="380"/>
      <c r="O87" s="422"/>
      <c r="P87" s="426"/>
      <c r="R87" s="422"/>
      <c r="S87" s="417"/>
      <c r="T87" s="417"/>
      <c r="U87" s="415"/>
      <c r="V87" s="135" t="str">
        <f>"Διανεμόμενες ποσότητες σε πελάτες που συνδέθηκαν το "&amp;V85</f>
        <v>Διανεμόμενες ποσότητες σε πελάτες που συνδέθηκαν το 2024</v>
      </c>
      <c r="W87" s="117" t="str">
        <f>"Διανεμόμενες ποσότητες σε πελάτες που συνδέθηκαν το "&amp;R85</f>
        <v>Διανεμόμενες ποσότητες σε πελάτες που συνδέθηκαν το 2023</v>
      </c>
      <c r="X87" s="60" t="s">
        <v>145</v>
      </c>
      <c r="Y87" s="417"/>
      <c r="Z87" s="417"/>
      <c r="AA87" s="418"/>
      <c r="AB87" s="135" t="str">
        <f>"Διανεμόμενες ποσότητες σε πελάτες που συνδέθηκαν το "&amp;AB85</f>
        <v>Διανεμόμενες ποσότητες σε πελάτες που συνδέθηκαν το 2025</v>
      </c>
      <c r="AC87" s="117" t="str">
        <f>"Διανεμόμενες ποσότητες σε πελάτες που συνδέθηκαν το "&amp;$R$12&amp;" - "&amp;V85</f>
        <v>Διανεμόμενες ποσότητες σε πελάτες που συνδέθηκαν το 2023 - 2024</v>
      </c>
      <c r="AD87" s="60" t="s">
        <v>145</v>
      </c>
      <c r="AE87" s="417"/>
      <c r="AF87" s="417"/>
      <c r="AG87" s="418"/>
      <c r="AH87" s="135" t="str">
        <f>"Διανεμόμενες ποσότητες σε πελάτες που συνδέθηκαν το "&amp;AH85</f>
        <v>Διανεμόμενες ποσότητες σε πελάτες που συνδέθηκαν το 2026</v>
      </c>
      <c r="AI87" s="117" t="str">
        <f>"Διανεμόμενες ποσότητες σε πελάτες που συνδέθηκαν το "&amp;$R$12&amp;" - "&amp;AB85</f>
        <v>Διανεμόμενες ποσότητες σε πελάτες που συνδέθηκαν το 2023 - 2025</v>
      </c>
      <c r="AJ87" s="60" t="s">
        <v>145</v>
      </c>
      <c r="AK87" s="417"/>
      <c r="AL87" s="417"/>
      <c r="AM87" s="418"/>
      <c r="AN87" s="135" t="str">
        <f>"Διανεμόμενες ποσότητες σε πελάτες που συνδέθηκαν το "&amp;AN85</f>
        <v>Διανεμόμενες ποσότητες σε πελάτες που συνδέθηκαν το 2027</v>
      </c>
      <c r="AO87" s="117" t="str">
        <f>"Διανεμόμενες ποσότητες σε πελάτες που συνδέθηκαν το "&amp;$R$12&amp;" - "&amp;AH85</f>
        <v>Διανεμόμενες ποσότητες σε πελάτες που συνδέθηκαν το 2023 - 2026</v>
      </c>
      <c r="AP87" s="60" t="s">
        <v>145</v>
      </c>
      <c r="AQ87" s="417"/>
      <c r="AR87" s="417"/>
      <c r="AS87" s="418"/>
      <c r="AT87" s="431"/>
      <c r="AU87" s="429"/>
    </row>
    <row r="88" spans="2:47" outlineLevel="1" x14ac:dyDescent="0.25">
      <c r="B88" s="281" t="s">
        <v>283</v>
      </c>
      <c r="C88" s="64" t="s">
        <v>26</v>
      </c>
      <c r="D88" s="91">
        <v>0</v>
      </c>
      <c r="E88" s="91">
        <v>0</v>
      </c>
      <c r="F88" s="203">
        <f t="shared" ref="F88:F91" si="424">IFERROR((E88-D88)/D88,0)</f>
        <v>0</v>
      </c>
      <c r="G88" s="91">
        <v>0</v>
      </c>
      <c r="H88" s="203">
        <f>IFERROR((G88-E88)/E88,0)</f>
        <v>0</v>
      </c>
      <c r="I88" s="91">
        <v>46</v>
      </c>
      <c r="J88" s="203">
        <f>IFERROR((I88-G88)/G88,0)</f>
        <v>0</v>
      </c>
      <c r="K88" s="91">
        <v>280</v>
      </c>
      <c r="L88" s="157"/>
      <c r="M88" s="71"/>
      <c r="N88" s="203">
        <f>IFERROR((M88-I88)/I88,0)</f>
        <v>-1</v>
      </c>
      <c r="O88" s="198">
        <f t="shared" ref="O88:O91" si="425">D88+E88+G88+I88+M88</f>
        <v>46</v>
      </c>
      <c r="P88" s="199">
        <f t="shared" ref="P88:P91" si="426">IFERROR((M88/D88)^(1/4)-1,0)</f>
        <v>0</v>
      </c>
      <c r="R88" s="206">
        <f>'Μέση ετήσια κατανάλωση'!F58*'Ενεργοί πελάτες'!X86</f>
        <v>299</v>
      </c>
      <c r="S88" s="6"/>
      <c r="T88" s="167">
        <f>R88+S88</f>
        <v>299</v>
      </c>
      <c r="U88" s="228">
        <f t="shared" ref="U88:U91" si="427">IFERROR((T88-M88)/M88,0)</f>
        <v>0</v>
      </c>
      <c r="V88" s="206">
        <f>'Μέση ετήσια κατανάλωση'!G58*'Ενεργοί πελάτες'!AA86</f>
        <v>920</v>
      </c>
      <c r="W88" s="167">
        <f>R88</f>
        <v>299</v>
      </c>
      <c r="X88" s="167">
        <f>V88+W88</f>
        <v>1219</v>
      </c>
      <c r="Y88" s="6"/>
      <c r="Z88" s="167">
        <f>X88+Y88</f>
        <v>1219</v>
      </c>
      <c r="AA88" s="203">
        <f t="shared" ref="AA88:AA91" si="428">IFERROR((Z88-T88)/T88,0)</f>
        <v>3.0769230769230771</v>
      </c>
      <c r="AB88" s="206">
        <f>'Μέση ετήσια κατανάλωση'!G58*'Ενεργοί πελάτες'!AD86</f>
        <v>0</v>
      </c>
      <c r="AC88" s="167">
        <f>X88</f>
        <v>1219</v>
      </c>
      <c r="AD88" s="167">
        <f>AB88+AC88</f>
        <v>1219</v>
      </c>
      <c r="AE88" s="6"/>
      <c r="AF88" s="167">
        <f>AD88+AE88</f>
        <v>1219</v>
      </c>
      <c r="AG88" s="203">
        <f>IFERROR((AF88-Z88)/Z88,0)</f>
        <v>0</v>
      </c>
      <c r="AH88" s="206">
        <f>'Μέση ετήσια κατανάλωση'!G58*'Ενεργοί πελάτες'!AG86</f>
        <v>0</v>
      </c>
      <c r="AI88" s="167">
        <f>AD88</f>
        <v>1219</v>
      </c>
      <c r="AJ88" s="167">
        <f>AH88+AI88</f>
        <v>1219</v>
      </c>
      <c r="AK88" s="6"/>
      <c r="AL88" s="167">
        <f>AJ88+AK88</f>
        <v>1219</v>
      </c>
      <c r="AM88" s="203">
        <f>IFERROR((AL88-AF88)/AF88,0)</f>
        <v>0</v>
      </c>
      <c r="AN88" s="206">
        <f>'Μέση ετήσια κατανάλωση'!G58*'Ενεργοί πελάτες'!AJ86</f>
        <v>0</v>
      </c>
      <c r="AO88" s="167">
        <f>AJ88</f>
        <v>1219</v>
      </c>
      <c r="AP88" s="167">
        <f>AN88+AO88</f>
        <v>1219</v>
      </c>
      <c r="AQ88" s="6"/>
      <c r="AR88" s="167">
        <f>AP88+AQ88</f>
        <v>1219</v>
      </c>
      <c r="AS88" s="203">
        <f>IFERROR((AR88-AL88)/AL88,0)</f>
        <v>0</v>
      </c>
      <c r="AT88" s="198">
        <f t="shared" ref="AT88:AT91" si="429">T88+Z88+AF88+AL88+AR88</f>
        <v>5175</v>
      </c>
      <c r="AU88" s="199">
        <f t="shared" ref="AU88:AU91" si="430">IFERROR((AR88/T88)^(1/4)-1,0)</f>
        <v>0.42096417691037069</v>
      </c>
    </row>
    <row r="89" spans="2:47" outlineLevel="1" x14ac:dyDescent="0.25">
      <c r="B89" s="52" t="s">
        <v>284</v>
      </c>
      <c r="C89" s="64" t="s">
        <v>26</v>
      </c>
      <c r="D89" s="91">
        <v>0</v>
      </c>
      <c r="E89" s="91">
        <v>0</v>
      </c>
      <c r="F89" s="203">
        <f t="shared" si="424"/>
        <v>0</v>
      </c>
      <c r="G89" s="91">
        <v>0</v>
      </c>
      <c r="H89" s="203">
        <f t="shared" ref="H89:H104" si="431">IFERROR((G89-E89)/E89,0)</f>
        <v>0</v>
      </c>
      <c r="I89" s="91">
        <v>0</v>
      </c>
      <c r="J89" s="203">
        <f t="shared" ref="J89:J104" si="432">IFERROR((I89-G89)/G89,0)</f>
        <v>0</v>
      </c>
      <c r="K89" s="91">
        <v>0</v>
      </c>
      <c r="L89" s="157"/>
      <c r="M89" s="71"/>
      <c r="N89" s="203">
        <f t="shared" ref="N89:N104" si="433">IFERROR((M89-I89)/I89,0)</f>
        <v>0</v>
      </c>
      <c r="O89" s="198">
        <f t="shared" si="425"/>
        <v>0</v>
      </c>
      <c r="P89" s="199">
        <f t="shared" si="426"/>
        <v>0</v>
      </c>
      <c r="R89" s="206">
        <f>'Μέση ετήσια κατανάλωση'!F59*'Ενεργοί πελάτες'!X87</f>
        <v>560</v>
      </c>
      <c r="S89" s="6"/>
      <c r="T89" s="167">
        <f t="shared" ref="T89:T91" si="434">R89+S89</f>
        <v>560</v>
      </c>
      <c r="U89" s="228">
        <f t="shared" si="427"/>
        <v>0</v>
      </c>
      <c r="V89" s="206">
        <f>'Μέση ετήσια κατανάλωση'!G59*'Ενεργοί πελάτες'!AA87</f>
        <v>650</v>
      </c>
      <c r="W89" s="167">
        <f t="shared" ref="W89:W96" si="435">R89</f>
        <v>560</v>
      </c>
      <c r="X89" s="167">
        <f t="shared" ref="X89:X91" si="436">V89+W89</f>
        <v>1210</v>
      </c>
      <c r="Y89" s="6"/>
      <c r="Z89" s="167">
        <f t="shared" ref="Z89:Z91" si="437">X89+Y89</f>
        <v>1210</v>
      </c>
      <c r="AA89" s="203">
        <f t="shared" si="428"/>
        <v>1.1607142857142858</v>
      </c>
      <c r="AB89" s="206">
        <f>'Μέση ετήσια κατανάλωση'!G59*'Ενεργοί πελάτες'!AD87</f>
        <v>250</v>
      </c>
      <c r="AC89" s="167">
        <f t="shared" ref="AC89:AC96" si="438">X89</f>
        <v>1210</v>
      </c>
      <c r="AD89" s="167">
        <f t="shared" ref="AD89:AD91" si="439">AB89+AC89</f>
        <v>1460</v>
      </c>
      <c r="AE89" s="6"/>
      <c r="AF89" s="167">
        <f t="shared" ref="AF89:AF91" si="440">AD89+AE89</f>
        <v>1460</v>
      </c>
      <c r="AG89" s="203">
        <f t="shared" ref="AG89:AG104" si="441">IFERROR((AF89-Z89)/Z89,0)</f>
        <v>0.20661157024793389</v>
      </c>
      <c r="AH89" s="206">
        <f>'Μέση ετήσια κατανάλωση'!G59*'Ενεργοί πελάτες'!AG87</f>
        <v>0</v>
      </c>
      <c r="AI89" s="167">
        <f t="shared" ref="AI89:AI96" si="442">AD89</f>
        <v>1460</v>
      </c>
      <c r="AJ89" s="167">
        <f t="shared" ref="AJ89:AJ91" si="443">AH89+AI89</f>
        <v>1460</v>
      </c>
      <c r="AK89" s="6"/>
      <c r="AL89" s="167">
        <f t="shared" ref="AL89:AL91" si="444">AJ89+AK89</f>
        <v>1460</v>
      </c>
      <c r="AM89" s="203">
        <f t="shared" ref="AM89:AM104" si="445">IFERROR((AL89-AF89)/AF89,0)</f>
        <v>0</v>
      </c>
      <c r="AN89" s="206">
        <f>'Μέση ετήσια κατανάλωση'!G59*'Ενεργοί πελάτες'!AJ87</f>
        <v>0</v>
      </c>
      <c r="AO89" s="167">
        <f t="shared" ref="AO89:AO96" si="446">AJ89</f>
        <v>1460</v>
      </c>
      <c r="AP89" s="167">
        <f t="shared" ref="AP89:AP91" si="447">AN89+AO89</f>
        <v>1460</v>
      </c>
      <c r="AQ89" s="6"/>
      <c r="AR89" s="167">
        <f t="shared" ref="AR89:AR91" si="448">AP89+AQ89</f>
        <v>1460</v>
      </c>
      <c r="AS89" s="203">
        <f t="shared" ref="AS89:AS91" si="449">IFERROR((AR89-AL89)/AL89,0)</f>
        <v>0</v>
      </c>
      <c r="AT89" s="198">
        <f t="shared" si="429"/>
        <v>6150</v>
      </c>
      <c r="AU89" s="199">
        <f t="shared" si="430"/>
        <v>0.27069466690228228</v>
      </c>
    </row>
    <row r="90" spans="2:47" outlineLevel="1" x14ac:dyDescent="0.25">
      <c r="B90" s="52" t="s">
        <v>285</v>
      </c>
      <c r="C90" s="64" t="s">
        <v>26</v>
      </c>
      <c r="D90" s="91">
        <v>0</v>
      </c>
      <c r="E90" s="91">
        <v>0</v>
      </c>
      <c r="F90" s="203">
        <f t="shared" si="424"/>
        <v>0</v>
      </c>
      <c r="G90" s="91">
        <v>0</v>
      </c>
      <c r="H90" s="203">
        <f t="shared" si="431"/>
        <v>0</v>
      </c>
      <c r="I90" s="91">
        <v>0</v>
      </c>
      <c r="J90" s="203">
        <f t="shared" si="432"/>
        <v>0</v>
      </c>
      <c r="K90" s="91">
        <v>10</v>
      </c>
      <c r="L90" s="157"/>
      <c r="M90" s="71"/>
      <c r="N90" s="203">
        <f t="shared" si="433"/>
        <v>0</v>
      </c>
      <c r="O90" s="198">
        <f t="shared" si="425"/>
        <v>0</v>
      </c>
      <c r="P90" s="199">
        <f t="shared" si="426"/>
        <v>0</v>
      </c>
      <c r="R90" s="206">
        <f>'Μέση ετήσια κατανάλωση'!F60*'Ενεργοί πελάτες'!X88</f>
        <v>665</v>
      </c>
      <c r="S90" s="6"/>
      <c r="T90" s="167">
        <f t="shared" si="434"/>
        <v>665</v>
      </c>
      <c r="U90" s="228">
        <f t="shared" si="427"/>
        <v>0</v>
      </c>
      <c r="V90" s="206">
        <f>'Μέση ετήσια κατανάλωση'!G60*'Ενεργοί πελάτες'!AA88</f>
        <v>525</v>
      </c>
      <c r="W90" s="167">
        <f t="shared" si="435"/>
        <v>665</v>
      </c>
      <c r="X90" s="167">
        <f t="shared" si="436"/>
        <v>1190</v>
      </c>
      <c r="Y90" s="6"/>
      <c r="Z90" s="167">
        <f t="shared" si="437"/>
        <v>1190</v>
      </c>
      <c r="AA90" s="203">
        <f t="shared" si="428"/>
        <v>0.78947368421052633</v>
      </c>
      <c r="AB90" s="206">
        <f>'Μέση ετήσια κατανάλωση'!G60*'Ενεργοί πελάτες'!AD88</f>
        <v>325</v>
      </c>
      <c r="AC90" s="167">
        <f t="shared" si="438"/>
        <v>1190</v>
      </c>
      <c r="AD90" s="167">
        <f t="shared" si="439"/>
        <v>1515</v>
      </c>
      <c r="AE90" s="6"/>
      <c r="AF90" s="167">
        <f t="shared" si="440"/>
        <v>1515</v>
      </c>
      <c r="AG90" s="203">
        <f t="shared" si="441"/>
        <v>0.27310924369747897</v>
      </c>
      <c r="AH90" s="206">
        <f>'Μέση ετήσια κατανάλωση'!G60*'Ενεργοί πελάτες'!AG88</f>
        <v>125</v>
      </c>
      <c r="AI90" s="167">
        <f t="shared" si="442"/>
        <v>1515</v>
      </c>
      <c r="AJ90" s="167">
        <f t="shared" si="443"/>
        <v>1640</v>
      </c>
      <c r="AK90" s="6"/>
      <c r="AL90" s="167">
        <f t="shared" si="444"/>
        <v>1640</v>
      </c>
      <c r="AM90" s="203">
        <f t="shared" si="445"/>
        <v>8.2508250825082508E-2</v>
      </c>
      <c r="AN90" s="206">
        <f>'Μέση ετήσια κατανάλωση'!G60*'Ενεργοί πελάτες'!AJ88</f>
        <v>100</v>
      </c>
      <c r="AO90" s="167">
        <f t="shared" si="446"/>
        <v>1640</v>
      </c>
      <c r="AP90" s="167">
        <f t="shared" si="447"/>
        <v>1740</v>
      </c>
      <c r="AQ90" s="6"/>
      <c r="AR90" s="167">
        <f t="shared" si="448"/>
        <v>1740</v>
      </c>
      <c r="AS90" s="203">
        <f t="shared" si="449"/>
        <v>6.097560975609756E-2</v>
      </c>
      <c r="AT90" s="198">
        <f t="shared" si="429"/>
        <v>6750</v>
      </c>
      <c r="AU90" s="199">
        <f t="shared" si="430"/>
        <v>0.27183830469629733</v>
      </c>
    </row>
    <row r="91" spans="2:47" ht="16.5" customHeight="1" outlineLevel="1" x14ac:dyDescent="0.25">
      <c r="B91" s="52" t="s">
        <v>286</v>
      </c>
      <c r="C91" s="64" t="s">
        <v>26</v>
      </c>
      <c r="D91" s="91">
        <v>0</v>
      </c>
      <c r="E91" s="91">
        <v>0</v>
      </c>
      <c r="F91" s="203">
        <f t="shared" si="424"/>
        <v>0</v>
      </c>
      <c r="G91" s="91">
        <v>0</v>
      </c>
      <c r="H91" s="203">
        <f t="shared" si="431"/>
        <v>0</v>
      </c>
      <c r="I91" s="91">
        <v>0</v>
      </c>
      <c r="J91" s="203">
        <f t="shared" si="432"/>
        <v>0</v>
      </c>
      <c r="K91" s="91">
        <v>0</v>
      </c>
      <c r="L91" s="157"/>
      <c r="M91" s="71"/>
      <c r="N91" s="203">
        <f t="shared" si="433"/>
        <v>0</v>
      </c>
      <c r="O91" s="198">
        <f t="shared" si="425"/>
        <v>0</v>
      </c>
      <c r="P91" s="199">
        <f t="shared" si="426"/>
        <v>0</v>
      </c>
      <c r="R91" s="206">
        <f>'Μέση ετήσια κατανάλωση'!F61*'Ενεργοί πελάτες'!X89</f>
        <v>333</v>
      </c>
      <c r="S91" s="6"/>
      <c r="T91" s="172">
        <f t="shared" si="434"/>
        <v>333</v>
      </c>
      <c r="U91" s="228">
        <f t="shared" si="427"/>
        <v>0</v>
      </c>
      <c r="V91" s="206">
        <f>'Μέση ετήσια κατανάλωση'!G61*'Ενεργοί πελάτες'!AA89</f>
        <v>1700</v>
      </c>
      <c r="W91" s="167">
        <f t="shared" si="435"/>
        <v>333</v>
      </c>
      <c r="X91" s="167">
        <f t="shared" si="436"/>
        <v>2033</v>
      </c>
      <c r="Y91" s="6"/>
      <c r="Z91" s="167">
        <f t="shared" si="437"/>
        <v>2033</v>
      </c>
      <c r="AA91" s="203">
        <f t="shared" si="428"/>
        <v>5.1051051051051051</v>
      </c>
      <c r="AB91" s="206">
        <f>'Μέση ετήσια κατανάλωση'!G61*'Ενεργοί πελάτες'!AD89</f>
        <v>100</v>
      </c>
      <c r="AC91" s="167">
        <f t="shared" si="438"/>
        <v>2033</v>
      </c>
      <c r="AD91" s="167">
        <f t="shared" si="439"/>
        <v>2133</v>
      </c>
      <c r="AE91" s="6"/>
      <c r="AF91" s="167">
        <f t="shared" si="440"/>
        <v>2133</v>
      </c>
      <c r="AG91" s="203">
        <f t="shared" si="441"/>
        <v>4.9188391539596657E-2</v>
      </c>
      <c r="AH91" s="206">
        <f>'Μέση ετήσια κατανάλωση'!G61*'Ενεργοί πελάτες'!AG89</f>
        <v>500</v>
      </c>
      <c r="AI91" s="167">
        <f t="shared" si="442"/>
        <v>2133</v>
      </c>
      <c r="AJ91" s="167">
        <f t="shared" si="443"/>
        <v>2633</v>
      </c>
      <c r="AK91" s="6"/>
      <c r="AL91" s="167">
        <f t="shared" si="444"/>
        <v>2633</v>
      </c>
      <c r="AM91" s="203">
        <f t="shared" si="445"/>
        <v>0.23441162681669012</v>
      </c>
      <c r="AN91" s="206">
        <f>'Μέση ετήσια κατανάλωση'!G61*'Ενεργοί πελάτες'!AJ89</f>
        <v>250</v>
      </c>
      <c r="AO91" s="167">
        <f t="shared" si="446"/>
        <v>2633</v>
      </c>
      <c r="AP91" s="167">
        <f t="shared" si="447"/>
        <v>2883</v>
      </c>
      <c r="AQ91" s="6"/>
      <c r="AR91" s="167">
        <f t="shared" si="448"/>
        <v>2883</v>
      </c>
      <c r="AS91" s="203">
        <f t="shared" si="449"/>
        <v>9.4948727687048998E-2</v>
      </c>
      <c r="AT91" s="198">
        <f t="shared" si="429"/>
        <v>10015</v>
      </c>
      <c r="AU91" s="199">
        <f t="shared" si="430"/>
        <v>0.71533955438354746</v>
      </c>
    </row>
    <row r="92" spans="2:47" ht="16.5" customHeight="1" outlineLevel="1" x14ac:dyDescent="0.25">
      <c r="B92" s="52" t="s">
        <v>287</v>
      </c>
      <c r="C92" s="64" t="s">
        <v>26</v>
      </c>
      <c r="D92" s="91">
        <v>0</v>
      </c>
      <c r="E92" s="91">
        <v>0</v>
      </c>
      <c r="F92" s="203">
        <f t="shared" ref="F92:F93" si="450">IFERROR((E92-D92)/D92,0)</f>
        <v>0</v>
      </c>
      <c r="G92" s="91">
        <v>0</v>
      </c>
      <c r="H92" s="203">
        <f t="shared" ref="H92:H93" si="451">IFERROR((G92-E92)/E92,0)</f>
        <v>0</v>
      </c>
      <c r="I92" s="91">
        <v>0</v>
      </c>
      <c r="J92" s="203">
        <f t="shared" ref="J92:J93" si="452">IFERROR((I92-G92)/G92,0)</f>
        <v>0</v>
      </c>
      <c r="K92" s="91">
        <v>0</v>
      </c>
      <c r="L92" s="157"/>
      <c r="M92" s="71"/>
      <c r="N92" s="203">
        <f t="shared" ref="N92:N93" si="453">IFERROR((M92-I92)/I92,0)</f>
        <v>0</v>
      </c>
      <c r="O92" s="198">
        <f t="shared" ref="O92:O93" si="454">D92+E92+G92+I92+M92</f>
        <v>0</v>
      </c>
      <c r="P92" s="199">
        <f t="shared" ref="P92:P93" si="455">IFERROR((M92/D92)^(1/4)-1,0)</f>
        <v>0</v>
      </c>
      <c r="R92" s="206">
        <f>'Μέση ετήσια κατανάλωση'!F62*'Ενεργοί πελάτες'!X90</f>
        <v>0</v>
      </c>
      <c r="S92" s="6"/>
      <c r="T92" s="172">
        <f t="shared" ref="T92:T93" si="456">R92+S92</f>
        <v>0</v>
      </c>
      <c r="U92" s="228">
        <f t="shared" ref="U92:U93" si="457">IFERROR((T92-M92)/M92,0)</f>
        <v>0</v>
      </c>
      <c r="V92" s="206">
        <f>'Μέση ετήσια κατανάλωση'!G62*'Ενεργοί πελάτες'!AA90</f>
        <v>4600</v>
      </c>
      <c r="W92" s="167">
        <f t="shared" si="435"/>
        <v>0</v>
      </c>
      <c r="X92" s="167">
        <f t="shared" ref="X92:X93" si="458">V92+W92</f>
        <v>4600</v>
      </c>
      <c r="Y92" s="6"/>
      <c r="Z92" s="167">
        <f t="shared" ref="Z92:Z93" si="459">X92+Y92</f>
        <v>4600</v>
      </c>
      <c r="AA92" s="203">
        <f t="shared" ref="AA92:AA93" si="460">IFERROR((Z92-T92)/T92,0)</f>
        <v>0</v>
      </c>
      <c r="AB92" s="206">
        <f>'Μέση ετήσια κατανάλωση'!G62*'Ενεργοί πελάτες'!AD90</f>
        <v>1425</v>
      </c>
      <c r="AC92" s="167">
        <f t="shared" si="438"/>
        <v>4600</v>
      </c>
      <c r="AD92" s="167">
        <f t="shared" ref="AD92:AD93" si="461">AB92+AC92</f>
        <v>6025</v>
      </c>
      <c r="AE92" s="6"/>
      <c r="AF92" s="167">
        <f t="shared" ref="AF92:AF93" si="462">AD92+AE92</f>
        <v>6025</v>
      </c>
      <c r="AG92" s="203">
        <f t="shared" ref="AG92:AG93" si="463">IFERROR((AF92-Z92)/Z92,0)</f>
        <v>0.30978260869565216</v>
      </c>
      <c r="AH92" s="206">
        <f>'Μέση ετήσια κατανάλωση'!G62*'Ενεργοί πελάτες'!AG90</f>
        <v>250</v>
      </c>
      <c r="AI92" s="167">
        <f t="shared" si="442"/>
        <v>6025</v>
      </c>
      <c r="AJ92" s="167">
        <f t="shared" ref="AJ92:AJ93" si="464">AH92+AI92</f>
        <v>6275</v>
      </c>
      <c r="AK92" s="6"/>
      <c r="AL92" s="167">
        <f t="shared" ref="AL92:AL93" si="465">AJ92+AK92</f>
        <v>6275</v>
      </c>
      <c r="AM92" s="203">
        <f t="shared" ref="AM92:AM93" si="466">IFERROR((AL92-AF92)/AF92,0)</f>
        <v>4.1493775933609957E-2</v>
      </c>
      <c r="AN92" s="206">
        <f>'Μέση ετήσια κατανάλωση'!G62*'Ενεργοί πελάτες'!AJ90</f>
        <v>150</v>
      </c>
      <c r="AO92" s="167">
        <f t="shared" si="446"/>
        <v>6275</v>
      </c>
      <c r="AP92" s="167">
        <f t="shared" ref="AP92:AP93" si="467">AN92+AO92</f>
        <v>6425</v>
      </c>
      <c r="AQ92" s="6"/>
      <c r="AR92" s="167">
        <f t="shared" ref="AR92:AR93" si="468">AP92+AQ92</f>
        <v>6425</v>
      </c>
      <c r="AS92" s="203">
        <f t="shared" ref="AS92:AS93" si="469">IFERROR((AR92-AL92)/AL92,0)</f>
        <v>2.3904382470119521E-2</v>
      </c>
      <c r="AT92" s="198">
        <f t="shared" ref="AT92:AT93" si="470">T92+Z92+AF92+AL92+AR92</f>
        <v>23325</v>
      </c>
      <c r="AU92" s="199">
        <f t="shared" ref="AU92:AU93" si="471">IFERROR((AR92/T92)^(1/4)-1,0)</f>
        <v>0</v>
      </c>
    </row>
    <row r="93" spans="2:47" ht="16.5" customHeight="1" outlineLevel="1" x14ac:dyDescent="0.25">
      <c r="B93" s="52" t="s">
        <v>288</v>
      </c>
      <c r="C93" s="64" t="s">
        <v>26</v>
      </c>
      <c r="D93" s="91">
        <v>0</v>
      </c>
      <c r="E93" s="91">
        <v>0</v>
      </c>
      <c r="F93" s="203">
        <f t="shared" si="450"/>
        <v>0</v>
      </c>
      <c r="G93" s="91">
        <v>0</v>
      </c>
      <c r="H93" s="203">
        <f t="shared" si="451"/>
        <v>0</v>
      </c>
      <c r="I93" s="91">
        <v>0</v>
      </c>
      <c r="J93" s="203">
        <f t="shared" si="452"/>
        <v>0</v>
      </c>
      <c r="K93" s="91">
        <v>0</v>
      </c>
      <c r="L93" s="157"/>
      <c r="M93" s="71"/>
      <c r="N93" s="203">
        <f t="shared" si="453"/>
        <v>0</v>
      </c>
      <c r="O93" s="198">
        <f t="shared" si="454"/>
        <v>0</v>
      </c>
      <c r="P93" s="199">
        <f t="shared" si="455"/>
        <v>0</v>
      </c>
      <c r="R93" s="206">
        <f>'Μέση ετήσια κατανάλωση'!F63*'Ενεργοί πελάτες'!X91</f>
        <v>538</v>
      </c>
      <c r="S93" s="6"/>
      <c r="T93" s="172">
        <f t="shared" si="456"/>
        <v>538</v>
      </c>
      <c r="U93" s="228">
        <f t="shared" si="457"/>
        <v>0</v>
      </c>
      <c r="V93" s="206">
        <f>'Μέση ετήσια κατανάλωση'!G63*'Ενεργοί πελάτες'!AA91</f>
        <v>175</v>
      </c>
      <c r="W93" s="167">
        <f t="shared" si="435"/>
        <v>538</v>
      </c>
      <c r="X93" s="167">
        <f t="shared" si="458"/>
        <v>713</v>
      </c>
      <c r="Y93" s="6"/>
      <c r="Z93" s="167">
        <f t="shared" si="459"/>
        <v>713</v>
      </c>
      <c r="AA93" s="203">
        <f t="shared" si="460"/>
        <v>0.32527881040892193</v>
      </c>
      <c r="AB93" s="206">
        <f>'Μέση ετήσια κατανάλωση'!G63*'Ενεργοί πελάτες'!AD91</f>
        <v>275</v>
      </c>
      <c r="AC93" s="167">
        <f t="shared" si="438"/>
        <v>713</v>
      </c>
      <c r="AD93" s="167">
        <f t="shared" si="461"/>
        <v>988</v>
      </c>
      <c r="AE93" s="6"/>
      <c r="AF93" s="167">
        <f t="shared" si="462"/>
        <v>988</v>
      </c>
      <c r="AG93" s="203">
        <f t="shared" si="463"/>
        <v>0.38569424964936888</v>
      </c>
      <c r="AH93" s="206">
        <f>'Μέση ετήσια κατανάλωση'!G63*'Ενεργοί πελάτες'!AG91</f>
        <v>75</v>
      </c>
      <c r="AI93" s="167">
        <f t="shared" si="442"/>
        <v>988</v>
      </c>
      <c r="AJ93" s="167">
        <f t="shared" si="464"/>
        <v>1063</v>
      </c>
      <c r="AK93" s="6"/>
      <c r="AL93" s="167">
        <f t="shared" si="465"/>
        <v>1063</v>
      </c>
      <c r="AM93" s="203">
        <f t="shared" si="466"/>
        <v>7.5910931174089064E-2</v>
      </c>
      <c r="AN93" s="206">
        <f>'Μέση ετήσια κατανάλωση'!G63*'Ενεργοί πελάτες'!AJ91</f>
        <v>50</v>
      </c>
      <c r="AO93" s="167">
        <f t="shared" si="446"/>
        <v>1063</v>
      </c>
      <c r="AP93" s="167">
        <f t="shared" si="467"/>
        <v>1113</v>
      </c>
      <c r="AQ93" s="6"/>
      <c r="AR93" s="167">
        <f t="shared" si="468"/>
        <v>1113</v>
      </c>
      <c r="AS93" s="203">
        <f t="shared" si="469"/>
        <v>4.7036688617121354E-2</v>
      </c>
      <c r="AT93" s="198">
        <f t="shared" si="470"/>
        <v>4415</v>
      </c>
      <c r="AU93" s="199">
        <f t="shared" si="471"/>
        <v>0.19930107280179588</v>
      </c>
    </row>
    <row r="94" spans="2:47" ht="16.5" customHeight="1" outlineLevel="1" x14ac:dyDescent="0.25">
      <c r="B94" s="52" t="s">
        <v>289</v>
      </c>
      <c r="C94" s="64" t="s">
        <v>26</v>
      </c>
      <c r="D94" s="91">
        <v>0</v>
      </c>
      <c r="E94" s="91">
        <v>0</v>
      </c>
      <c r="F94" s="203">
        <f t="shared" ref="F94" si="472">IFERROR((E94-D94)/D94,0)</f>
        <v>0</v>
      </c>
      <c r="G94" s="91">
        <v>0</v>
      </c>
      <c r="H94" s="203">
        <f t="shared" ref="H94" si="473">IFERROR((G94-E94)/E94,0)</f>
        <v>0</v>
      </c>
      <c r="I94" s="91">
        <v>0</v>
      </c>
      <c r="J94" s="203">
        <f t="shared" ref="J94" si="474">IFERROR((I94-G94)/G94,0)</f>
        <v>0</v>
      </c>
      <c r="K94" s="91">
        <v>0</v>
      </c>
      <c r="L94" s="157"/>
      <c r="M94" s="71"/>
      <c r="N94" s="203">
        <f t="shared" ref="N94" si="475">IFERROR((M94-I94)/I94,0)</f>
        <v>0</v>
      </c>
      <c r="O94" s="198">
        <f t="shared" ref="O94" si="476">D94+E94+G94+I94+M94</f>
        <v>0</v>
      </c>
      <c r="P94" s="199">
        <f t="shared" ref="P94" si="477">IFERROR((M94/D94)^(1/4)-1,0)</f>
        <v>0</v>
      </c>
      <c r="R94" s="206">
        <f>'Μέση ετήσια κατανάλωση'!F64*'Ενεργοί πελάτες'!X92</f>
        <v>1970</v>
      </c>
      <c r="S94" s="6"/>
      <c r="T94" s="172">
        <f t="shared" ref="T94" si="478">R94+S94</f>
        <v>1970</v>
      </c>
      <c r="U94" s="228">
        <f t="shared" ref="U94" si="479">IFERROR((T94-M94)/M94,0)</f>
        <v>0</v>
      </c>
      <c r="V94" s="206">
        <f>'Μέση ετήσια κατανάλωση'!G64*'Ενεργοί πελάτες'!AA92</f>
        <v>5450</v>
      </c>
      <c r="W94" s="167">
        <f t="shared" si="435"/>
        <v>1970</v>
      </c>
      <c r="X94" s="167">
        <f t="shared" ref="X94" si="480">V94+W94</f>
        <v>7420</v>
      </c>
      <c r="Y94" s="6"/>
      <c r="Z94" s="167">
        <f t="shared" ref="Z94" si="481">X94+Y94</f>
        <v>7420</v>
      </c>
      <c r="AA94" s="203">
        <f t="shared" ref="AA94" si="482">IFERROR((Z94-T94)/T94,0)</f>
        <v>2.766497461928934</v>
      </c>
      <c r="AB94" s="206">
        <f>'Μέση ετήσια κατανάλωση'!G64*'Ενεργοί πελάτες'!AD92</f>
        <v>1175</v>
      </c>
      <c r="AC94" s="167">
        <f t="shared" si="438"/>
        <v>7420</v>
      </c>
      <c r="AD94" s="167">
        <f t="shared" ref="AD94" si="483">AB94+AC94</f>
        <v>8595</v>
      </c>
      <c r="AE94" s="6"/>
      <c r="AF94" s="167">
        <f t="shared" ref="AF94" si="484">AD94+AE94</f>
        <v>8595</v>
      </c>
      <c r="AG94" s="203">
        <f t="shared" ref="AG94" si="485">IFERROR((AF94-Z94)/Z94,0)</f>
        <v>0.15835579514824799</v>
      </c>
      <c r="AH94" s="206">
        <f>'Μέση ετήσια κατανάλωση'!G64*'Ενεργοί πελάτες'!AG92</f>
        <v>500</v>
      </c>
      <c r="AI94" s="167">
        <f t="shared" si="442"/>
        <v>8595</v>
      </c>
      <c r="AJ94" s="167">
        <f t="shared" ref="AJ94" si="486">AH94+AI94</f>
        <v>9095</v>
      </c>
      <c r="AK94" s="6"/>
      <c r="AL94" s="167">
        <f t="shared" ref="AL94" si="487">AJ94+AK94</f>
        <v>9095</v>
      </c>
      <c r="AM94" s="203">
        <f t="shared" ref="AM94" si="488">IFERROR((AL94-AF94)/AF94,0)</f>
        <v>5.8173356602675974E-2</v>
      </c>
      <c r="AN94" s="206">
        <f>'Μέση ετήσια κατανάλωση'!G64*'Ενεργοί πελάτες'!AJ92</f>
        <v>250</v>
      </c>
      <c r="AO94" s="167">
        <f t="shared" si="446"/>
        <v>9095</v>
      </c>
      <c r="AP94" s="167">
        <f t="shared" ref="AP94" si="489">AN94+AO94</f>
        <v>9345</v>
      </c>
      <c r="AQ94" s="6"/>
      <c r="AR94" s="167">
        <f t="shared" ref="AR94" si="490">AP94+AQ94</f>
        <v>9345</v>
      </c>
      <c r="AS94" s="203">
        <f t="shared" ref="AS94" si="491">IFERROR((AR94-AL94)/AL94,0)</f>
        <v>2.7487630566245189E-2</v>
      </c>
      <c r="AT94" s="198">
        <f t="shared" ref="AT94" si="492">T94+Z94+AF94+AL94+AR94</f>
        <v>36425</v>
      </c>
      <c r="AU94" s="199">
        <f t="shared" ref="AU94" si="493">IFERROR((AR94/T94)^(1/4)-1,0)</f>
        <v>0.47580259578288575</v>
      </c>
    </row>
    <row r="95" spans="2:47" ht="16.5" customHeight="1" outlineLevel="1" x14ac:dyDescent="0.25">
      <c r="B95" s="52" t="s">
        <v>290</v>
      </c>
      <c r="C95" s="64" t="s">
        <v>26</v>
      </c>
      <c r="D95" s="91">
        <v>0</v>
      </c>
      <c r="E95" s="91">
        <v>0</v>
      </c>
      <c r="F95" s="203">
        <f t="shared" ref="F95" si="494">IFERROR((E95-D95)/D95,0)</f>
        <v>0</v>
      </c>
      <c r="G95" s="91">
        <v>0</v>
      </c>
      <c r="H95" s="203">
        <f t="shared" ref="H95" si="495">IFERROR((G95-E95)/E95,0)</f>
        <v>0</v>
      </c>
      <c r="I95" s="91">
        <v>0</v>
      </c>
      <c r="J95" s="203">
        <f t="shared" ref="J95" si="496">IFERROR((I95-G95)/G95,0)</f>
        <v>0</v>
      </c>
      <c r="K95" s="91">
        <v>0</v>
      </c>
      <c r="L95" s="157"/>
      <c r="M95" s="71"/>
      <c r="N95" s="203">
        <f t="shared" ref="N95" si="497">IFERROR((M95-I95)/I95,0)</f>
        <v>0</v>
      </c>
      <c r="O95" s="198">
        <f t="shared" ref="O95" si="498">D95+E95+G95+I95+M95</f>
        <v>0</v>
      </c>
      <c r="P95" s="199">
        <f t="shared" ref="P95" si="499">IFERROR((M95/D95)^(1/4)-1,0)</f>
        <v>0</v>
      </c>
      <c r="R95" s="206">
        <f>'Μέση ετήσια κατανάλωση'!F65*'Ενεργοί πελάτες'!X93</f>
        <v>851</v>
      </c>
      <c r="S95" s="6"/>
      <c r="T95" s="172">
        <f t="shared" ref="T95" si="500">R95+S95</f>
        <v>851</v>
      </c>
      <c r="U95" s="228">
        <f t="shared" ref="U95" si="501">IFERROR((T95-M95)/M95,0)</f>
        <v>0</v>
      </c>
      <c r="V95" s="206">
        <f>'Μέση ετήσια κατανάλωση'!G65*'Ενεργοί πελάτες'!AA93</f>
        <v>2625</v>
      </c>
      <c r="W95" s="167">
        <f t="shared" si="435"/>
        <v>851</v>
      </c>
      <c r="X95" s="167">
        <f t="shared" ref="X95" si="502">V95+W95</f>
        <v>3476</v>
      </c>
      <c r="Y95" s="6"/>
      <c r="Z95" s="167">
        <f t="shared" ref="Z95" si="503">X95+Y95</f>
        <v>3476</v>
      </c>
      <c r="AA95" s="203">
        <f t="shared" ref="AA95" si="504">IFERROR((Z95-T95)/T95,0)</f>
        <v>3.0846063454759105</v>
      </c>
      <c r="AB95" s="206">
        <f>'Μέση ετήσια κατανάλωση'!G65*'Ενεργοί πελάτες'!AD93</f>
        <v>1000</v>
      </c>
      <c r="AC95" s="167">
        <f t="shared" si="438"/>
        <v>3476</v>
      </c>
      <c r="AD95" s="167">
        <f t="shared" ref="AD95" si="505">AB95+AC95</f>
        <v>4476</v>
      </c>
      <c r="AE95" s="6"/>
      <c r="AF95" s="167">
        <f t="shared" ref="AF95" si="506">AD95+AE95</f>
        <v>4476</v>
      </c>
      <c r="AG95" s="203">
        <f t="shared" ref="AG95" si="507">IFERROR((AF95-Z95)/Z95,0)</f>
        <v>0.28768699654775604</v>
      </c>
      <c r="AH95" s="206">
        <f>'Μέση ετήσια κατανάλωση'!G65*'Ενεργοί πελάτες'!AG93</f>
        <v>500</v>
      </c>
      <c r="AI95" s="167">
        <f t="shared" si="442"/>
        <v>4476</v>
      </c>
      <c r="AJ95" s="167">
        <f t="shared" ref="AJ95" si="508">AH95+AI95</f>
        <v>4976</v>
      </c>
      <c r="AK95" s="6"/>
      <c r="AL95" s="167">
        <f t="shared" ref="AL95" si="509">AJ95+AK95</f>
        <v>4976</v>
      </c>
      <c r="AM95" s="203">
        <f t="shared" ref="AM95" si="510">IFERROR((AL95-AF95)/AF95,0)</f>
        <v>0.11170688114387846</v>
      </c>
      <c r="AN95" s="206">
        <f>'Μέση ετήσια κατανάλωση'!G65*'Ενεργοί πελάτες'!AJ93</f>
        <v>250</v>
      </c>
      <c r="AO95" s="167">
        <f t="shared" si="446"/>
        <v>4976</v>
      </c>
      <c r="AP95" s="167">
        <f t="shared" ref="AP95" si="511">AN95+AO95</f>
        <v>5226</v>
      </c>
      <c r="AQ95" s="6"/>
      <c r="AR95" s="167">
        <f t="shared" ref="AR95" si="512">AP95+AQ95</f>
        <v>5226</v>
      </c>
      <c r="AS95" s="203">
        <f t="shared" ref="AS95" si="513">IFERROR((AR95-AL95)/AL95,0)</f>
        <v>5.0241157556270094E-2</v>
      </c>
      <c r="AT95" s="198">
        <f t="shared" ref="AT95" si="514">T95+Z95+AF95+AL95+AR95</f>
        <v>19005</v>
      </c>
      <c r="AU95" s="199">
        <f t="shared" ref="AU95" si="515">IFERROR((AR95/T95)^(1/4)-1,0)</f>
        <v>0.57420019307655989</v>
      </c>
    </row>
    <row r="96" spans="2:47" ht="16.5" customHeight="1" outlineLevel="1" x14ac:dyDescent="0.25">
      <c r="B96" s="52" t="s">
        <v>291</v>
      </c>
      <c r="C96" s="64" t="s">
        <v>26</v>
      </c>
      <c r="D96" s="91">
        <v>0</v>
      </c>
      <c r="E96" s="91">
        <v>0</v>
      </c>
      <c r="F96" s="203">
        <f t="shared" ref="F96:F102" si="516">IFERROR((E96-D96)/D96,0)</f>
        <v>0</v>
      </c>
      <c r="G96" s="91">
        <v>0</v>
      </c>
      <c r="H96" s="203">
        <f t="shared" ref="H96:H102" si="517">IFERROR((G96-E96)/E96,0)</f>
        <v>0</v>
      </c>
      <c r="I96" s="91">
        <v>0</v>
      </c>
      <c r="J96" s="203">
        <f t="shared" ref="J96:J102" si="518">IFERROR((I96-G96)/G96,0)</f>
        <v>0</v>
      </c>
      <c r="K96" s="91">
        <v>5</v>
      </c>
      <c r="L96" s="157"/>
      <c r="M96" s="71"/>
      <c r="N96" s="203">
        <f t="shared" ref="N96:N102" si="519">IFERROR((M96-I96)/I96,0)</f>
        <v>0</v>
      </c>
      <c r="O96" s="198">
        <f t="shared" ref="O96" si="520">D96+E96+G96+I96+M96</f>
        <v>0</v>
      </c>
      <c r="P96" s="199">
        <f t="shared" ref="P96:P102" si="521">IFERROR((M96/D96)^(1/4)-1,0)</f>
        <v>0</v>
      </c>
      <c r="R96" s="206">
        <f>'Μέση ετήσια κατανάλωση'!F66*'Ενεργοί πελάτες'!X94</f>
        <v>1437</v>
      </c>
      <c r="S96" s="6"/>
      <c r="T96" s="172">
        <f t="shared" ref="T96:T99" si="522">R96+S96</f>
        <v>1437</v>
      </c>
      <c r="U96" s="228">
        <f t="shared" ref="U96:U102" si="523">IFERROR((T96-M96)/M96,0)</f>
        <v>0</v>
      </c>
      <c r="V96" s="206">
        <f>'Μέση ετήσια κατανάλωση'!G66*'Ενεργοί πελάτες'!AA94</f>
        <v>550</v>
      </c>
      <c r="W96" s="167">
        <f t="shared" si="435"/>
        <v>1437</v>
      </c>
      <c r="X96" s="167">
        <f t="shared" ref="X96:X99" si="524">V96+W96</f>
        <v>1987</v>
      </c>
      <c r="Y96" s="6"/>
      <c r="Z96" s="167">
        <f t="shared" ref="Z96:Z99" si="525">X96+Y96</f>
        <v>1987</v>
      </c>
      <c r="AA96" s="203">
        <f t="shared" ref="AA96:AA102" si="526">IFERROR((Z96-T96)/T96,0)</f>
        <v>0.3827418232428671</v>
      </c>
      <c r="AB96" s="206">
        <f>'Μέση ετήσια κατανάλωση'!G66*'Ενεργοί πελάτες'!AD94</f>
        <v>100</v>
      </c>
      <c r="AC96" s="167">
        <f t="shared" si="438"/>
        <v>1987</v>
      </c>
      <c r="AD96" s="167">
        <f t="shared" ref="AD96:AD99" si="527">AB96+AC96</f>
        <v>2087</v>
      </c>
      <c r="AE96" s="6"/>
      <c r="AF96" s="167">
        <f t="shared" ref="AF96:AF99" si="528">AD96+AE96</f>
        <v>2087</v>
      </c>
      <c r="AG96" s="203">
        <f t="shared" ref="AG96:AG102" si="529">IFERROR((AF96-Z96)/Z96,0)</f>
        <v>5.0327126321087066E-2</v>
      </c>
      <c r="AH96" s="206">
        <f>'Μέση ετήσια κατανάλωση'!G66*'Ενεργοί πελάτες'!AG94</f>
        <v>125</v>
      </c>
      <c r="AI96" s="167">
        <f t="shared" si="442"/>
        <v>2087</v>
      </c>
      <c r="AJ96" s="167">
        <f t="shared" ref="AJ96:AJ99" si="530">AH96+AI96</f>
        <v>2212</v>
      </c>
      <c r="AK96" s="6"/>
      <c r="AL96" s="167">
        <f t="shared" ref="AL96:AL99" si="531">AJ96+AK96</f>
        <v>2212</v>
      </c>
      <c r="AM96" s="203">
        <f t="shared" ref="AM96:AM102" si="532">IFERROR((AL96-AF96)/AF96,0)</f>
        <v>5.9894585529468136E-2</v>
      </c>
      <c r="AN96" s="206">
        <f>'Μέση ετήσια κατανάλωση'!G66*'Ενεργοί πελάτες'!AJ94</f>
        <v>75</v>
      </c>
      <c r="AO96" s="167">
        <f t="shared" si="446"/>
        <v>2212</v>
      </c>
      <c r="AP96" s="167">
        <f t="shared" ref="AP96:AP99" si="533">AN96+AO96</f>
        <v>2287</v>
      </c>
      <c r="AQ96" s="6"/>
      <c r="AR96" s="167">
        <f t="shared" ref="AR96:AR99" si="534">AP96+AQ96</f>
        <v>2287</v>
      </c>
      <c r="AS96" s="203">
        <f t="shared" ref="AS96:AS102" si="535">IFERROR((AR96-AL96)/AL96,0)</f>
        <v>3.3905967450271246E-2</v>
      </c>
      <c r="AT96" s="198">
        <f t="shared" ref="AT96:AT99" si="536">T96+Z96+AF96+AL96+AR96</f>
        <v>10010</v>
      </c>
      <c r="AU96" s="199">
        <f t="shared" ref="AU96:AU102" si="537">IFERROR((AR96/T96)^(1/4)-1,0)</f>
        <v>0.12318772651980003</v>
      </c>
    </row>
    <row r="97" spans="2:47" ht="16.5" customHeight="1" outlineLevel="1" x14ac:dyDescent="0.25">
      <c r="B97" s="52" t="s">
        <v>307</v>
      </c>
      <c r="C97" s="64" t="s">
        <v>26</v>
      </c>
      <c r="D97" s="91"/>
      <c r="E97" s="91"/>
      <c r="F97" s="203">
        <f t="shared" si="516"/>
        <v>0</v>
      </c>
      <c r="G97" s="91"/>
      <c r="H97" s="203">
        <f t="shared" si="517"/>
        <v>0</v>
      </c>
      <c r="I97" s="91"/>
      <c r="J97" s="203">
        <f t="shared" si="518"/>
        <v>0</v>
      </c>
      <c r="K97" s="91"/>
      <c r="L97" s="157"/>
      <c r="M97" s="71"/>
      <c r="N97" s="203">
        <f t="shared" si="519"/>
        <v>0</v>
      </c>
      <c r="O97" s="198"/>
      <c r="P97" s="199">
        <f t="shared" si="521"/>
        <v>0</v>
      </c>
      <c r="R97" s="206">
        <f>'Μέση ετήσια κατανάλωση'!F67*'Ενεργοί πελάτες'!X95</f>
        <v>42</v>
      </c>
      <c r="S97" s="6"/>
      <c r="T97" s="172">
        <f t="shared" si="522"/>
        <v>42</v>
      </c>
      <c r="U97" s="228">
        <f t="shared" si="523"/>
        <v>0</v>
      </c>
      <c r="V97" s="206">
        <f>'Μέση ετήσια κατανάλωση'!G67*'Ενεργοί πελάτες'!AA95</f>
        <v>175</v>
      </c>
      <c r="W97" s="167">
        <f t="shared" ref="W97:W101" si="538">R97</f>
        <v>42</v>
      </c>
      <c r="X97" s="167">
        <f t="shared" si="524"/>
        <v>217</v>
      </c>
      <c r="Y97" s="6"/>
      <c r="Z97" s="167">
        <f t="shared" si="525"/>
        <v>217</v>
      </c>
      <c r="AA97" s="203">
        <f t="shared" si="526"/>
        <v>4.166666666666667</v>
      </c>
      <c r="AB97" s="206">
        <f>'Μέση ετήσια κατανάλωση'!G67*'Ενεργοί πελάτες'!AD95</f>
        <v>200</v>
      </c>
      <c r="AC97" s="167">
        <f t="shared" ref="AC97:AC101" si="539">X97</f>
        <v>217</v>
      </c>
      <c r="AD97" s="167">
        <f t="shared" si="527"/>
        <v>417</v>
      </c>
      <c r="AE97" s="6"/>
      <c r="AF97" s="167">
        <f t="shared" si="528"/>
        <v>417</v>
      </c>
      <c r="AG97" s="203">
        <f t="shared" si="529"/>
        <v>0.92165898617511521</v>
      </c>
      <c r="AH97" s="206">
        <f>'Μέση ετήσια κατανάλωση'!G67*'Ενεργοί πελάτες'!AG95</f>
        <v>100</v>
      </c>
      <c r="AI97" s="167">
        <f t="shared" ref="AI97:AI101" si="540">AD97</f>
        <v>417</v>
      </c>
      <c r="AJ97" s="167">
        <f t="shared" si="530"/>
        <v>517</v>
      </c>
      <c r="AK97" s="6"/>
      <c r="AL97" s="167">
        <f t="shared" si="531"/>
        <v>517</v>
      </c>
      <c r="AM97" s="203">
        <f t="shared" si="532"/>
        <v>0.23980815347721823</v>
      </c>
      <c r="AN97" s="206">
        <f>'Μέση ετήσια κατανάλωση'!G67*'Ενεργοί πελάτες'!AJ95</f>
        <v>100</v>
      </c>
      <c r="AO97" s="167">
        <f t="shared" ref="AO97:AO101" si="541">AJ97</f>
        <v>517</v>
      </c>
      <c r="AP97" s="167">
        <f t="shared" si="533"/>
        <v>617</v>
      </c>
      <c r="AQ97" s="6"/>
      <c r="AR97" s="167">
        <f t="shared" si="534"/>
        <v>617</v>
      </c>
      <c r="AS97" s="203">
        <f t="shared" si="535"/>
        <v>0.19342359767891681</v>
      </c>
      <c r="AT97" s="198">
        <f t="shared" si="536"/>
        <v>1810</v>
      </c>
      <c r="AU97" s="199">
        <f t="shared" si="537"/>
        <v>0.95775782466586024</v>
      </c>
    </row>
    <row r="98" spans="2:47" ht="16.5" customHeight="1" outlineLevel="1" x14ac:dyDescent="0.25">
      <c r="B98" s="52" t="s">
        <v>304</v>
      </c>
      <c r="C98" s="64" t="s">
        <v>26</v>
      </c>
      <c r="D98" s="91"/>
      <c r="E98" s="91"/>
      <c r="F98" s="203">
        <f t="shared" si="516"/>
        <v>0</v>
      </c>
      <c r="G98" s="91"/>
      <c r="H98" s="203">
        <f t="shared" si="517"/>
        <v>0</v>
      </c>
      <c r="I98" s="91"/>
      <c r="J98" s="203">
        <f t="shared" si="518"/>
        <v>0</v>
      </c>
      <c r="K98" s="91"/>
      <c r="L98" s="157"/>
      <c r="M98" s="71"/>
      <c r="N98" s="203">
        <f t="shared" si="519"/>
        <v>0</v>
      </c>
      <c r="O98" s="198"/>
      <c r="P98" s="199">
        <f t="shared" si="521"/>
        <v>0</v>
      </c>
      <c r="R98" s="206">
        <f>'Μέση ετήσια κατανάλωση'!F68*'Ενεργοί πελάτες'!X96</f>
        <v>70</v>
      </c>
      <c r="S98" s="6"/>
      <c r="T98" s="172">
        <f t="shared" si="522"/>
        <v>70</v>
      </c>
      <c r="U98" s="228">
        <f t="shared" si="523"/>
        <v>0</v>
      </c>
      <c r="V98" s="206">
        <f>'Μέση ετήσια κατανάλωση'!G68*'Ενεργοί πελάτες'!AA96</f>
        <v>175</v>
      </c>
      <c r="W98" s="167">
        <f t="shared" si="538"/>
        <v>70</v>
      </c>
      <c r="X98" s="167">
        <f t="shared" si="524"/>
        <v>245</v>
      </c>
      <c r="Y98" s="6"/>
      <c r="Z98" s="167">
        <f t="shared" si="525"/>
        <v>245</v>
      </c>
      <c r="AA98" s="203">
        <f t="shared" si="526"/>
        <v>2.5</v>
      </c>
      <c r="AB98" s="206">
        <f>'Μέση ετήσια κατανάλωση'!G68*'Ενεργοί πελάτες'!AD96</f>
        <v>200</v>
      </c>
      <c r="AC98" s="167">
        <f t="shared" si="539"/>
        <v>245</v>
      </c>
      <c r="AD98" s="167">
        <f t="shared" si="527"/>
        <v>445</v>
      </c>
      <c r="AE98" s="6"/>
      <c r="AF98" s="167">
        <f t="shared" si="528"/>
        <v>445</v>
      </c>
      <c r="AG98" s="203">
        <f t="shared" si="529"/>
        <v>0.81632653061224492</v>
      </c>
      <c r="AH98" s="206">
        <f>'Μέση ετήσια κατανάλωση'!G68*'Ενεργοί πελάτες'!AG96</f>
        <v>100</v>
      </c>
      <c r="AI98" s="167">
        <f t="shared" si="540"/>
        <v>445</v>
      </c>
      <c r="AJ98" s="167">
        <f t="shared" si="530"/>
        <v>545</v>
      </c>
      <c r="AK98" s="6"/>
      <c r="AL98" s="167">
        <f t="shared" si="531"/>
        <v>545</v>
      </c>
      <c r="AM98" s="203">
        <f t="shared" si="532"/>
        <v>0.2247191011235955</v>
      </c>
      <c r="AN98" s="206">
        <f>'Μέση ετήσια κατανάλωση'!G68*'Ενεργοί πελάτες'!AJ96</f>
        <v>100</v>
      </c>
      <c r="AO98" s="167">
        <f t="shared" si="541"/>
        <v>545</v>
      </c>
      <c r="AP98" s="167">
        <f t="shared" si="533"/>
        <v>645</v>
      </c>
      <c r="AQ98" s="6"/>
      <c r="AR98" s="167">
        <f t="shared" si="534"/>
        <v>645</v>
      </c>
      <c r="AS98" s="203">
        <f t="shared" si="535"/>
        <v>0.1834862385321101</v>
      </c>
      <c r="AT98" s="198">
        <f t="shared" si="536"/>
        <v>1950</v>
      </c>
      <c r="AU98" s="199">
        <f t="shared" si="537"/>
        <v>0.74226983972369376</v>
      </c>
    </row>
    <row r="99" spans="2:47" ht="16.5" customHeight="1" outlineLevel="1" x14ac:dyDescent="0.25">
      <c r="B99" s="52" t="s">
        <v>305</v>
      </c>
      <c r="C99" s="64" t="s">
        <v>26</v>
      </c>
      <c r="D99" s="91"/>
      <c r="E99" s="91"/>
      <c r="F99" s="203">
        <f t="shared" si="516"/>
        <v>0</v>
      </c>
      <c r="G99" s="91"/>
      <c r="H99" s="203">
        <f t="shared" si="517"/>
        <v>0</v>
      </c>
      <c r="I99" s="91"/>
      <c r="J99" s="203">
        <f t="shared" si="518"/>
        <v>0</v>
      </c>
      <c r="K99" s="91"/>
      <c r="L99" s="157"/>
      <c r="M99" s="71"/>
      <c r="N99" s="203">
        <f t="shared" si="519"/>
        <v>0</v>
      </c>
      <c r="O99" s="198"/>
      <c r="P99" s="199">
        <f t="shared" si="521"/>
        <v>0</v>
      </c>
      <c r="R99" s="206">
        <f>'Μέση ετήσια κατανάλωση'!F69*'Ενεργοί πελάτες'!X97</f>
        <v>35</v>
      </c>
      <c r="S99" s="6"/>
      <c r="T99" s="172">
        <f t="shared" si="522"/>
        <v>35</v>
      </c>
      <c r="U99" s="228">
        <f t="shared" si="523"/>
        <v>0</v>
      </c>
      <c r="V99" s="206">
        <f>'Μέση ετήσια κατανάλωση'!G69*'Ενεργοί πελάτες'!AA97</f>
        <v>175</v>
      </c>
      <c r="W99" s="167">
        <f t="shared" si="538"/>
        <v>35</v>
      </c>
      <c r="X99" s="167">
        <f t="shared" si="524"/>
        <v>210</v>
      </c>
      <c r="Y99" s="6"/>
      <c r="Z99" s="167">
        <f t="shared" si="525"/>
        <v>210</v>
      </c>
      <c r="AA99" s="203">
        <f t="shared" si="526"/>
        <v>5</v>
      </c>
      <c r="AB99" s="206">
        <f>'Μέση ετήσια κατανάλωση'!G69*'Ενεργοί πελάτες'!AD97</f>
        <v>200</v>
      </c>
      <c r="AC99" s="167">
        <f t="shared" si="539"/>
        <v>210</v>
      </c>
      <c r="AD99" s="167">
        <f t="shared" si="527"/>
        <v>410</v>
      </c>
      <c r="AE99" s="6"/>
      <c r="AF99" s="167">
        <f t="shared" si="528"/>
        <v>410</v>
      </c>
      <c r="AG99" s="203">
        <f t="shared" si="529"/>
        <v>0.95238095238095233</v>
      </c>
      <c r="AH99" s="206">
        <f>'Μέση ετήσια κατανάλωση'!G69*'Ενεργοί πελάτες'!AG97</f>
        <v>100</v>
      </c>
      <c r="AI99" s="167">
        <f t="shared" si="540"/>
        <v>410</v>
      </c>
      <c r="AJ99" s="167">
        <f t="shared" si="530"/>
        <v>510</v>
      </c>
      <c r="AK99" s="6"/>
      <c r="AL99" s="167">
        <f t="shared" si="531"/>
        <v>510</v>
      </c>
      <c r="AM99" s="203">
        <f t="shared" si="532"/>
        <v>0.24390243902439024</v>
      </c>
      <c r="AN99" s="206">
        <f>'Μέση ετήσια κατανάλωση'!G69*'Ενεργοί πελάτες'!AJ97</f>
        <v>100</v>
      </c>
      <c r="AO99" s="167">
        <f t="shared" si="541"/>
        <v>510</v>
      </c>
      <c r="AP99" s="167">
        <f t="shared" si="533"/>
        <v>610</v>
      </c>
      <c r="AQ99" s="6"/>
      <c r="AR99" s="167">
        <f t="shared" si="534"/>
        <v>610</v>
      </c>
      <c r="AS99" s="203">
        <f t="shared" si="535"/>
        <v>0.19607843137254902</v>
      </c>
      <c r="AT99" s="198">
        <f t="shared" si="536"/>
        <v>1775</v>
      </c>
      <c r="AU99" s="199">
        <f t="shared" si="537"/>
        <v>1.0432214897210348</v>
      </c>
    </row>
    <row r="100" spans="2:47" ht="16.5" customHeight="1" outlineLevel="1" x14ac:dyDescent="0.25">
      <c r="B100" s="52" t="s">
        <v>306</v>
      </c>
      <c r="C100" s="64" t="s">
        <v>26</v>
      </c>
      <c r="D100" s="91"/>
      <c r="E100" s="91"/>
      <c r="F100" s="203">
        <f t="shared" si="516"/>
        <v>0</v>
      </c>
      <c r="G100" s="91"/>
      <c r="H100" s="203">
        <f t="shared" si="517"/>
        <v>0</v>
      </c>
      <c r="I100" s="91"/>
      <c r="J100" s="203">
        <f t="shared" si="518"/>
        <v>0</v>
      </c>
      <c r="K100" s="91"/>
      <c r="L100" s="157"/>
      <c r="M100" s="71"/>
      <c r="N100" s="203">
        <f t="shared" si="519"/>
        <v>0</v>
      </c>
      <c r="O100" s="198"/>
      <c r="P100" s="199">
        <f t="shared" si="521"/>
        <v>0</v>
      </c>
      <c r="R100" s="206">
        <f>'Μέση ετήσια κατανάλωση'!F70*'Ενεργοί πελάτες'!X98</f>
        <v>400</v>
      </c>
      <c r="S100" s="6"/>
      <c r="T100" s="172">
        <f t="shared" ref="T100:T101" si="542">R100+S100</f>
        <v>400</v>
      </c>
      <c r="U100" s="228">
        <f t="shared" ref="U100:U101" si="543">IFERROR((T100-M100)/M100,0)</f>
        <v>0</v>
      </c>
      <c r="V100" s="206">
        <f>'Μέση ετήσια κατανάλωση'!G70*'Ενεργοί πελάτες'!AA98</f>
        <v>1125</v>
      </c>
      <c r="W100" s="167">
        <f t="shared" si="538"/>
        <v>400</v>
      </c>
      <c r="X100" s="167">
        <f t="shared" ref="X100:X101" si="544">V100+W100</f>
        <v>1525</v>
      </c>
      <c r="Y100" s="6"/>
      <c r="Z100" s="167">
        <f t="shared" ref="Z100:Z101" si="545">X100+Y100</f>
        <v>1525</v>
      </c>
      <c r="AA100" s="203">
        <f t="shared" ref="AA100:AA101" si="546">IFERROR((Z100-T100)/T100,0)</f>
        <v>2.8125</v>
      </c>
      <c r="AB100" s="206">
        <f>'Μέση ετήσια κατανάλωση'!G70*'Ενεργοί πελάτες'!AD98</f>
        <v>900</v>
      </c>
      <c r="AC100" s="167">
        <f t="shared" si="539"/>
        <v>1525</v>
      </c>
      <c r="AD100" s="167">
        <f t="shared" ref="AD100:AD101" si="547">AB100+AC100</f>
        <v>2425</v>
      </c>
      <c r="AE100" s="6"/>
      <c r="AF100" s="167">
        <f t="shared" ref="AF100:AF101" si="548">AD100+AE100</f>
        <v>2425</v>
      </c>
      <c r="AG100" s="203">
        <f t="shared" ref="AG100:AG101" si="549">IFERROR((AF100-Z100)/Z100,0)</f>
        <v>0.5901639344262295</v>
      </c>
      <c r="AH100" s="206">
        <f>'Μέση ετήσια κατανάλωση'!G70*'Ενεργοί πελάτες'!AG98</f>
        <v>500</v>
      </c>
      <c r="AI100" s="167">
        <f t="shared" si="540"/>
        <v>2425</v>
      </c>
      <c r="AJ100" s="167">
        <f t="shared" ref="AJ100:AJ101" si="550">AH100+AI100</f>
        <v>2925</v>
      </c>
      <c r="AK100" s="6"/>
      <c r="AL100" s="167">
        <f t="shared" ref="AL100:AL101" si="551">AJ100+AK100</f>
        <v>2925</v>
      </c>
      <c r="AM100" s="203">
        <f t="shared" ref="AM100:AM101" si="552">IFERROR((AL100-AF100)/AF100,0)</f>
        <v>0.20618556701030927</v>
      </c>
      <c r="AN100" s="206">
        <f>'Μέση ετήσια κατανάλωση'!G70*'Ενεργοί πελάτες'!AJ98</f>
        <v>250</v>
      </c>
      <c r="AO100" s="167">
        <f t="shared" si="541"/>
        <v>2925</v>
      </c>
      <c r="AP100" s="167">
        <f t="shared" ref="AP100:AP101" si="553">AN100+AO100</f>
        <v>3175</v>
      </c>
      <c r="AQ100" s="6"/>
      <c r="AR100" s="167">
        <f t="shared" ref="AR100:AR101" si="554">AP100+AQ100</f>
        <v>3175</v>
      </c>
      <c r="AS100" s="203">
        <f t="shared" ref="AS100:AS101" si="555">IFERROR((AR100-AL100)/AL100,0)</f>
        <v>8.5470085470085472E-2</v>
      </c>
      <c r="AT100" s="198">
        <f t="shared" ref="AT100:AT101" si="556">T100+Z100+AF100+AL100+AR100</f>
        <v>10450</v>
      </c>
      <c r="AU100" s="199">
        <f t="shared" ref="AU100:AU101" si="557">IFERROR((AR100/T100)^(1/4)-1,0)</f>
        <v>0.6784984114964665</v>
      </c>
    </row>
    <row r="101" spans="2:47" ht="16.5" customHeight="1" outlineLevel="1" x14ac:dyDescent="0.25">
      <c r="B101" s="52" t="s">
        <v>308</v>
      </c>
      <c r="C101" s="64" t="s">
        <v>26</v>
      </c>
      <c r="D101" s="91"/>
      <c r="E101" s="91"/>
      <c r="F101" s="203">
        <f t="shared" si="516"/>
        <v>0</v>
      </c>
      <c r="G101" s="91"/>
      <c r="H101" s="203">
        <f t="shared" si="517"/>
        <v>0</v>
      </c>
      <c r="I101" s="91"/>
      <c r="J101" s="203">
        <f t="shared" si="518"/>
        <v>0</v>
      </c>
      <c r="K101" s="91"/>
      <c r="L101" s="157"/>
      <c r="M101" s="71"/>
      <c r="N101" s="203">
        <f t="shared" si="519"/>
        <v>0</v>
      </c>
      <c r="O101" s="198"/>
      <c r="P101" s="199">
        <f t="shared" si="521"/>
        <v>0</v>
      </c>
      <c r="R101" s="206">
        <f>'Μέση ετήσια κατανάλωση'!F71*'Ενεργοί πελάτες'!X99</f>
        <v>280</v>
      </c>
      <c r="S101" s="6"/>
      <c r="T101" s="172">
        <f t="shared" si="542"/>
        <v>280</v>
      </c>
      <c r="U101" s="228">
        <f t="shared" si="543"/>
        <v>0</v>
      </c>
      <c r="V101" s="206">
        <f>'Μέση ετήσια κατανάλωση'!G71*'Ενεργοί πελάτες'!AA99</f>
        <v>1225</v>
      </c>
      <c r="W101" s="167">
        <f t="shared" si="538"/>
        <v>280</v>
      </c>
      <c r="X101" s="167">
        <f t="shared" si="544"/>
        <v>1505</v>
      </c>
      <c r="Y101" s="6"/>
      <c r="Z101" s="167">
        <f t="shared" si="545"/>
        <v>1505</v>
      </c>
      <c r="AA101" s="203">
        <f t="shared" si="546"/>
        <v>4.375</v>
      </c>
      <c r="AB101" s="206">
        <f>'Μέση ετήσια κατανάλωση'!G71*'Ενεργοί πελάτες'!AD99</f>
        <v>1225</v>
      </c>
      <c r="AC101" s="167">
        <f t="shared" si="539"/>
        <v>1505</v>
      </c>
      <c r="AD101" s="167">
        <f t="shared" si="547"/>
        <v>2730</v>
      </c>
      <c r="AE101" s="6"/>
      <c r="AF101" s="167">
        <f t="shared" si="548"/>
        <v>2730</v>
      </c>
      <c r="AG101" s="203">
        <f t="shared" si="549"/>
        <v>0.81395348837209303</v>
      </c>
      <c r="AH101" s="206">
        <f>'Μέση ετήσια κατανάλωση'!G71*'Ενεργοί πελάτες'!AG99</f>
        <v>875</v>
      </c>
      <c r="AI101" s="167">
        <f t="shared" si="540"/>
        <v>2730</v>
      </c>
      <c r="AJ101" s="167">
        <f t="shared" si="550"/>
        <v>3605</v>
      </c>
      <c r="AK101" s="6"/>
      <c r="AL101" s="167">
        <f t="shared" si="551"/>
        <v>3605</v>
      </c>
      <c r="AM101" s="203">
        <f t="shared" si="552"/>
        <v>0.32051282051282054</v>
      </c>
      <c r="AN101" s="206">
        <f>'Μέση ετήσια κατανάλωση'!G71*'Ενεργοί πελάτες'!AJ99</f>
        <v>250</v>
      </c>
      <c r="AO101" s="167">
        <f t="shared" si="541"/>
        <v>3605</v>
      </c>
      <c r="AP101" s="167">
        <f t="shared" si="553"/>
        <v>3855</v>
      </c>
      <c r="AQ101" s="6"/>
      <c r="AR101" s="167">
        <f t="shared" si="554"/>
        <v>3855</v>
      </c>
      <c r="AS101" s="203">
        <f t="shared" si="555"/>
        <v>6.9348127600554782E-2</v>
      </c>
      <c r="AT101" s="198">
        <f t="shared" si="556"/>
        <v>11975</v>
      </c>
      <c r="AU101" s="199">
        <f t="shared" si="557"/>
        <v>0.9262674577885277</v>
      </c>
    </row>
    <row r="102" spans="2:47" ht="16.5" customHeight="1" outlineLevel="1" x14ac:dyDescent="0.25">
      <c r="B102" s="52"/>
      <c r="C102" s="64"/>
      <c r="D102" s="91"/>
      <c r="E102" s="91"/>
      <c r="F102" s="203">
        <f t="shared" si="516"/>
        <v>0</v>
      </c>
      <c r="G102" s="91"/>
      <c r="H102" s="203">
        <f t="shared" si="517"/>
        <v>0</v>
      </c>
      <c r="I102" s="91"/>
      <c r="J102" s="203">
        <f t="shared" si="518"/>
        <v>0</v>
      </c>
      <c r="K102" s="91"/>
      <c r="L102" s="157"/>
      <c r="M102" s="71"/>
      <c r="N102" s="203">
        <f t="shared" si="519"/>
        <v>0</v>
      </c>
      <c r="O102" s="198"/>
      <c r="P102" s="199">
        <f t="shared" si="521"/>
        <v>0</v>
      </c>
      <c r="R102" s="206"/>
      <c r="S102" s="6"/>
      <c r="T102" s="172"/>
      <c r="U102" s="228">
        <f t="shared" si="523"/>
        <v>0</v>
      </c>
      <c r="V102" s="206"/>
      <c r="W102" s="167"/>
      <c r="X102" s="167"/>
      <c r="Y102" s="6"/>
      <c r="Z102" s="167"/>
      <c r="AA102" s="203">
        <f t="shared" si="526"/>
        <v>0</v>
      </c>
      <c r="AB102" s="206"/>
      <c r="AC102" s="167"/>
      <c r="AD102" s="167"/>
      <c r="AE102" s="6"/>
      <c r="AF102" s="167"/>
      <c r="AG102" s="203">
        <f t="shared" si="529"/>
        <v>0</v>
      </c>
      <c r="AH102" s="206"/>
      <c r="AI102" s="167"/>
      <c r="AJ102" s="167"/>
      <c r="AK102" s="6"/>
      <c r="AL102" s="167"/>
      <c r="AM102" s="203">
        <f t="shared" si="532"/>
        <v>0</v>
      </c>
      <c r="AN102" s="206"/>
      <c r="AO102" s="167"/>
      <c r="AP102" s="167"/>
      <c r="AQ102" s="6"/>
      <c r="AR102" s="167"/>
      <c r="AS102" s="203">
        <f t="shared" si="535"/>
        <v>0</v>
      </c>
      <c r="AT102" s="198"/>
      <c r="AU102" s="199">
        <f t="shared" si="537"/>
        <v>0</v>
      </c>
    </row>
    <row r="103" spans="2:47" ht="15" customHeight="1" outlineLevel="1" x14ac:dyDescent="0.25">
      <c r="B103" s="349" t="s">
        <v>90</v>
      </c>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97"/>
    </row>
    <row r="104" spans="2:47" ht="15" customHeight="1" outlineLevel="1" x14ac:dyDescent="0.25">
      <c r="B104" s="52" t="s">
        <v>82</v>
      </c>
      <c r="C104" s="49" t="s">
        <v>26</v>
      </c>
      <c r="D104" s="231">
        <f>SUM(D88:D102)</f>
        <v>0</v>
      </c>
      <c r="E104" s="207">
        <f>SUM(E88:E102)</f>
        <v>0</v>
      </c>
      <c r="F104" s="202">
        <f>IFERROR((E104-D104)/D104,0)</f>
        <v>0</v>
      </c>
      <c r="G104" s="207">
        <f>SUM(G88:G102)</f>
        <v>0</v>
      </c>
      <c r="H104" s="202">
        <f t="shared" si="431"/>
        <v>0</v>
      </c>
      <c r="I104" s="207">
        <f>SUM(I88:I102)</f>
        <v>46</v>
      </c>
      <c r="J104" s="202">
        <f t="shared" si="432"/>
        <v>0</v>
      </c>
      <c r="K104" s="207">
        <f>SUM(K88:K102)</f>
        <v>295</v>
      </c>
      <c r="L104" s="159"/>
      <c r="M104" s="207">
        <f>SUM(M88:M102)</f>
        <v>0</v>
      </c>
      <c r="N104" s="202">
        <f t="shared" si="433"/>
        <v>-1</v>
      </c>
      <c r="O104" s="218">
        <f>SUM(O88:O102)</f>
        <v>46</v>
      </c>
      <c r="P104" s="199">
        <f>IFERROR((M104/D104)^(1/4)-1,0)</f>
        <v>0</v>
      </c>
      <c r="R104" s="207">
        <f>SUM(R88:R102)</f>
        <v>7480</v>
      </c>
      <c r="S104" s="187">
        <f>SUM(S88:S102)</f>
        <v>0</v>
      </c>
      <c r="T104" s="187">
        <f>SUM(T88:T102)</f>
        <v>7480</v>
      </c>
      <c r="U104" s="202">
        <f>IFERROR((T104-M104)/M104,0)</f>
        <v>0</v>
      </c>
      <c r="V104" s="207">
        <f>SUM(V88:V102)</f>
        <v>20070</v>
      </c>
      <c r="W104" s="172">
        <f>SUM(W88:W102)</f>
        <v>7480</v>
      </c>
      <c r="X104" s="172">
        <f>SUM(X88:X102)</f>
        <v>27550</v>
      </c>
      <c r="Y104" s="172">
        <f>SUM(Y88:Y102)</f>
        <v>0</v>
      </c>
      <c r="Z104" s="172">
        <f>SUM(Z88:Z102)</f>
        <v>27550</v>
      </c>
      <c r="AA104" s="202">
        <f>IFERROR((Z104-T104)/T104,0)</f>
        <v>2.6831550802139037</v>
      </c>
      <c r="AB104" s="207">
        <f>SUM(AB88:AB102)</f>
        <v>7375</v>
      </c>
      <c r="AC104" s="172">
        <f>SUM(AC88:AC102)</f>
        <v>27550</v>
      </c>
      <c r="AD104" s="172">
        <f>SUM(AD88:AD102)</f>
        <v>34925</v>
      </c>
      <c r="AE104" s="172">
        <f>SUM(AE88:AE102)</f>
        <v>0</v>
      </c>
      <c r="AF104" s="172">
        <f>SUM(AF88:AF102)</f>
        <v>34925</v>
      </c>
      <c r="AG104" s="202">
        <f t="shared" si="441"/>
        <v>0.26769509981851181</v>
      </c>
      <c r="AH104" s="207">
        <f>SUM(AH88:AH102)</f>
        <v>3750</v>
      </c>
      <c r="AI104" s="172">
        <f>SUM(AI88:AI102)</f>
        <v>34925</v>
      </c>
      <c r="AJ104" s="172">
        <f>SUM(AJ88:AJ102)</f>
        <v>38675</v>
      </c>
      <c r="AK104" s="172">
        <f>SUM(AK88:AK102)</f>
        <v>0</v>
      </c>
      <c r="AL104" s="172">
        <f>SUM(AL88:AL102)</f>
        <v>38675</v>
      </c>
      <c r="AM104" s="202">
        <f t="shared" si="445"/>
        <v>0.10737294201861131</v>
      </c>
      <c r="AN104" s="207">
        <f>SUM(AN88:AN102)</f>
        <v>1925</v>
      </c>
      <c r="AO104" s="172">
        <f>SUM(AO88:AO102)</f>
        <v>38675</v>
      </c>
      <c r="AP104" s="172">
        <f>SUM(AP88:AP102)</f>
        <v>40600</v>
      </c>
      <c r="AQ104" s="172">
        <f>SUM(AQ88:AQ102)</f>
        <v>0</v>
      </c>
      <c r="AR104" s="172">
        <f>SUM(AR88:AR102)</f>
        <v>40600</v>
      </c>
      <c r="AS104" s="202">
        <f>IFERROR((AR104-AL104)/AL104,0)</f>
        <v>4.9773755656108594E-2</v>
      </c>
      <c r="AT104" s="218">
        <f>SUM(AT88:AT102)</f>
        <v>149230</v>
      </c>
      <c r="AU104" s="199">
        <f>IFERROR((AR104/T104)^(1/4)-1,0)</f>
        <v>0.52635695146152028</v>
      </c>
    </row>
    <row r="106" spans="2:47" ht="15.75" x14ac:dyDescent="0.25">
      <c r="B106" s="352" t="s">
        <v>207</v>
      </c>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row>
    <row r="107" spans="2:47" ht="5.45" customHeight="1" outlineLevel="1" x14ac:dyDescent="0.2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row>
    <row r="108" spans="2:47" outlineLevel="1" x14ac:dyDescent="0.25">
      <c r="B108" s="393"/>
      <c r="C108" s="396" t="s">
        <v>20</v>
      </c>
      <c r="D108" s="372" t="s">
        <v>262</v>
      </c>
      <c r="E108" s="373"/>
      <c r="F108" s="373"/>
      <c r="G108" s="373"/>
      <c r="H108" s="373"/>
      <c r="I108" s="373"/>
      <c r="J108" s="373"/>
      <c r="K108" s="373"/>
      <c r="L108" s="374"/>
      <c r="M108" s="372" t="s">
        <v>260</v>
      </c>
      <c r="N108" s="374"/>
      <c r="O108" s="388" t="str">
        <f xml:space="preserve"> D109&amp;" - "&amp;M109</f>
        <v>2018 - 2022</v>
      </c>
      <c r="P108" s="398"/>
      <c r="R108" s="372" t="s">
        <v>261</v>
      </c>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4"/>
    </row>
    <row r="109" spans="2:47" outlineLevel="1" x14ac:dyDescent="0.25">
      <c r="B109" s="394"/>
      <c r="C109" s="396"/>
      <c r="D109" s="88">
        <f>$C$3-5</f>
        <v>2018</v>
      </c>
      <c r="E109" s="372">
        <f>$C$3-4</f>
        <v>2019</v>
      </c>
      <c r="F109" s="374"/>
      <c r="G109" s="372">
        <f>$C$3-3</f>
        <v>2020</v>
      </c>
      <c r="H109" s="374"/>
      <c r="I109" s="372">
        <f>$C$3-2</f>
        <v>2021</v>
      </c>
      <c r="J109" s="374"/>
      <c r="K109" s="372" t="str">
        <f>$C$3-1&amp;""&amp;" ("&amp;"Σεπτ"&amp;")"</f>
        <v>2022 (Σεπτ)</v>
      </c>
      <c r="L109" s="374"/>
      <c r="M109" s="372">
        <f>$C$3-1</f>
        <v>2022</v>
      </c>
      <c r="N109" s="374"/>
      <c r="O109" s="390"/>
      <c r="P109" s="399"/>
      <c r="R109" s="416">
        <f>$C$3</f>
        <v>2023</v>
      </c>
      <c r="S109" s="403"/>
      <c r="T109" s="403"/>
      <c r="U109" s="418"/>
      <c r="V109" s="416">
        <f>$C$3+1</f>
        <v>2024</v>
      </c>
      <c r="W109" s="403"/>
      <c r="X109" s="403"/>
      <c r="Y109" s="403"/>
      <c r="Z109" s="403"/>
      <c r="AA109" s="418"/>
      <c r="AB109" s="372">
        <f>$C$3+2</f>
        <v>2025</v>
      </c>
      <c r="AC109" s="373"/>
      <c r="AD109" s="373"/>
      <c r="AE109" s="373"/>
      <c r="AF109" s="373"/>
      <c r="AG109" s="374"/>
      <c r="AH109" s="372">
        <f>$C$3+3</f>
        <v>2026</v>
      </c>
      <c r="AI109" s="373"/>
      <c r="AJ109" s="373"/>
      <c r="AK109" s="373"/>
      <c r="AL109" s="373"/>
      <c r="AM109" s="374"/>
      <c r="AN109" s="372">
        <f>$C$3+4</f>
        <v>2027</v>
      </c>
      <c r="AO109" s="373"/>
      <c r="AP109" s="373"/>
      <c r="AQ109" s="373"/>
      <c r="AR109" s="373"/>
      <c r="AS109" s="374"/>
      <c r="AT109" s="376" t="str">
        <f>R109&amp;" - "&amp;AN109</f>
        <v>2023 - 2027</v>
      </c>
      <c r="AU109" s="392"/>
    </row>
    <row r="110" spans="2:47" ht="15" customHeight="1" outlineLevel="1" x14ac:dyDescent="0.25">
      <c r="B110" s="394"/>
      <c r="C110" s="396"/>
      <c r="D110" s="419" t="s">
        <v>142</v>
      </c>
      <c r="E110" s="421" t="s">
        <v>142</v>
      </c>
      <c r="F110" s="423" t="s">
        <v>81</v>
      </c>
      <c r="G110" s="421" t="s">
        <v>142</v>
      </c>
      <c r="H110" s="423" t="s">
        <v>81</v>
      </c>
      <c r="I110" s="421" t="s">
        <v>142</v>
      </c>
      <c r="J110" s="427" t="s">
        <v>81</v>
      </c>
      <c r="K110" s="421" t="s">
        <v>142</v>
      </c>
      <c r="L110" s="427" t="s">
        <v>81</v>
      </c>
      <c r="M110" s="421" t="s">
        <v>142</v>
      </c>
      <c r="N110" s="427" t="s">
        <v>81</v>
      </c>
      <c r="O110" s="421" t="s">
        <v>17</v>
      </c>
      <c r="P110" s="425" t="s">
        <v>83</v>
      </c>
      <c r="R110" s="421" t="str">
        <f>"Διανεμόμενες ποσότητες σε πελάτες που συνδέθηκαν το "&amp;R109</f>
        <v>Διανεμόμενες ποσότητες σε πελάτες που συνδέθηκαν το 2023</v>
      </c>
      <c r="S110" s="417" t="s">
        <v>146</v>
      </c>
      <c r="T110" s="417" t="s">
        <v>143</v>
      </c>
      <c r="U110" s="415" t="s">
        <v>81</v>
      </c>
      <c r="V110" s="416" t="s">
        <v>144</v>
      </c>
      <c r="W110" s="403"/>
      <c r="X110" s="403"/>
      <c r="Y110" s="417" t="s">
        <v>146</v>
      </c>
      <c r="Z110" s="417" t="s">
        <v>143</v>
      </c>
      <c r="AA110" s="418" t="s">
        <v>81</v>
      </c>
      <c r="AB110" s="416" t="s">
        <v>144</v>
      </c>
      <c r="AC110" s="403"/>
      <c r="AD110" s="403"/>
      <c r="AE110" s="417" t="s">
        <v>146</v>
      </c>
      <c r="AF110" s="417" t="s">
        <v>143</v>
      </c>
      <c r="AG110" s="418" t="s">
        <v>81</v>
      </c>
      <c r="AH110" s="416" t="s">
        <v>144</v>
      </c>
      <c r="AI110" s="403"/>
      <c r="AJ110" s="403"/>
      <c r="AK110" s="417" t="s">
        <v>146</v>
      </c>
      <c r="AL110" s="417" t="s">
        <v>143</v>
      </c>
      <c r="AM110" s="418" t="s">
        <v>81</v>
      </c>
      <c r="AN110" s="416" t="s">
        <v>144</v>
      </c>
      <c r="AO110" s="403"/>
      <c r="AP110" s="403"/>
      <c r="AQ110" s="417" t="s">
        <v>146</v>
      </c>
      <c r="AR110" s="417" t="s">
        <v>143</v>
      </c>
      <c r="AS110" s="418" t="s">
        <v>81</v>
      </c>
      <c r="AT110" s="430" t="s">
        <v>17</v>
      </c>
      <c r="AU110" s="428" t="s">
        <v>83</v>
      </c>
    </row>
    <row r="111" spans="2:47" ht="60" outlineLevel="1" x14ac:dyDescent="0.25">
      <c r="B111" s="395"/>
      <c r="C111" s="396"/>
      <c r="D111" s="420"/>
      <c r="E111" s="422"/>
      <c r="F111" s="424"/>
      <c r="G111" s="422"/>
      <c r="H111" s="424"/>
      <c r="I111" s="422"/>
      <c r="J111" s="380"/>
      <c r="K111" s="422"/>
      <c r="L111" s="380"/>
      <c r="M111" s="422"/>
      <c r="N111" s="380"/>
      <c r="O111" s="422"/>
      <c r="P111" s="426"/>
      <c r="R111" s="422"/>
      <c r="S111" s="417"/>
      <c r="T111" s="417"/>
      <c r="U111" s="415"/>
      <c r="V111" s="135" t="str">
        <f>"Διανεμόμενες ποσότητες σε πελάτες που συνδέθηκαν το "&amp;V109</f>
        <v>Διανεμόμενες ποσότητες σε πελάτες που συνδέθηκαν το 2024</v>
      </c>
      <c r="W111" s="117" t="str">
        <f>"Διανεμόμενες ποσότητες σε πελάτες που συνδέθηκαν το "&amp;R109</f>
        <v>Διανεμόμενες ποσότητες σε πελάτες που συνδέθηκαν το 2023</v>
      </c>
      <c r="X111" s="60" t="s">
        <v>145</v>
      </c>
      <c r="Y111" s="417"/>
      <c r="Z111" s="417"/>
      <c r="AA111" s="418"/>
      <c r="AB111" s="135" t="str">
        <f>"Διανεμόμενες ποσότητες σε πελάτες που συνδέθηκαν το "&amp;AB109</f>
        <v>Διανεμόμενες ποσότητες σε πελάτες που συνδέθηκαν το 2025</v>
      </c>
      <c r="AC111" s="117" t="str">
        <f>"Διανεμόμενες ποσότητες σε πελάτες που συνδέθηκαν το "&amp;$R$12&amp;" - "&amp;V109</f>
        <v>Διανεμόμενες ποσότητες σε πελάτες που συνδέθηκαν το 2023 - 2024</v>
      </c>
      <c r="AD111" s="60" t="s">
        <v>145</v>
      </c>
      <c r="AE111" s="417"/>
      <c r="AF111" s="417"/>
      <c r="AG111" s="418"/>
      <c r="AH111" s="135" t="str">
        <f>"Διανεμόμενες ποσότητες σε πελάτες που συνδέθηκαν το "&amp;AH109</f>
        <v>Διανεμόμενες ποσότητες σε πελάτες που συνδέθηκαν το 2026</v>
      </c>
      <c r="AI111" s="117" t="str">
        <f>"Διανεμόμενες ποσότητες σε πελάτες που συνδέθηκαν το "&amp;$R$12&amp;" - "&amp;AB109</f>
        <v>Διανεμόμενες ποσότητες σε πελάτες που συνδέθηκαν το 2023 - 2025</v>
      </c>
      <c r="AJ111" s="60" t="s">
        <v>145</v>
      </c>
      <c r="AK111" s="417"/>
      <c r="AL111" s="417"/>
      <c r="AM111" s="418"/>
      <c r="AN111" s="135" t="str">
        <f>"Διανεμόμενες ποσότητες σε πελάτες που συνδέθηκαν το "&amp;AN109</f>
        <v>Διανεμόμενες ποσότητες σε πελάτες που συνδέθηκαν το 2027</v>
      </c>
      <c r="AO111" s="117" t="str">
        <f>"Διανεμόμενες ποσότητες σε πελάτες που συνδέθηκαν το "&amp;$R$12&amp;" - "&amp;AH109</f>
        <v>Διανεμόμενες ποσότητες σε πελάτες που συνδέθηκαν το 2023 - 2026</v>
      </c>
      <c r="AP111" s="60" t="s">
        <v>145</v>
      </c>
      <c r="AQ111" s="417"/>
      <c r="AR111" s="417"/>
      <c r="AS111" s="418"/>
      <c r="AT111" s="431"/>
      <c r="AU111" s="429"/>
    </row>
    <row r="112" spans="2:47" outlineLevel="1" x14ac:dyDescent="0.25">
      <c r="B112" s="281" t="s">
        <v>283</v>
      </c>
      <c r="C112" s="64" t="s">
        <v>26</v>
      </c>
      <c r="D112" s="91">
        <v>0</v>
      </c>
      <c r="E112" s="91">
        <v>0</v>
      </c>
      <c r="F112" s="203">
        <f t="shared" ref="F112:F115" si="558">IFERROR((E112-D112)/D112,0)</f>
        <v>0</v>
      </c>
      <c r="G112" s="91">
        <v>0</v>
      </c>
      <c r="H112" s="203">
        <f>IFERROR((G112-E112)/E112,0)</f>
        <v>0</v>
      </c>
      <c r="I112" s="91">
        <v>0</v>
      </c>
      <c r="J112" s="203">
        <f>IFERROR((I112-G112)/G112,0)</f>
        <v>0</v>
      </c>
      <c r="K112" s="91">
        <v>0</v>
      </c>
      <c r="L112" s="157"/>
      <c r="M112" s="71"/>
      <c r="N112" s="203">
        <f>IFERROR((M112-I112)/I112,0)</f>
        <v>0</v>
      </c>
      <c r="O112" s="198">
        <f t="shared" ref="O112:O115" si="559">D112+E112+G112+I112+M112</f>
        <v>0</v>
      </c>
      <c r="P112" s="199">
        <f t="shared" ref="P112:P115" si="560">IFERROR((M112/D112)^(1/4)-1,0)</f>
        <v>0</v>
      </c>
      <c r="R112" s="206">
        <f>'Μέση ετήσια κατανάλωση'!F80*'Ενεργοί πελάτες'!X109</f>
        <v>716</v>
      </c>
      <c r="S112" s="6"/>
      <c r="T112" s="167">
        <f>R112+S112</f>
        <v>716</v>
      </c>
      <c r="U112" s="228">
        <f t="shared" ref="U112:U115" si="561">IFERROR((T112-M112)/M112,0)</f>
        <v>0</v>
      </c>
      <c r="V112" s="206">
        <f>'Μέση ετήσια κατανάλωση'!G80*'Ενεργοί πελάτες'!AA109</f>
        <v>716</v>
      </c>
      <c r="W112" s="167">
        <f>T112</f>
        <v>716</v>
      </c>
      <c r="X112" s="167">
        <f>V112+W112</f>
        <v>1432</v>
      </c>
      <c r="Y112" s="6"/>
      <c r="Z112" s="167">
        <f>X112+Y112</f>
        <v>1432</v>
      </c>
      <c r="AA112" s="203">
        <f t="shared" ref="AA112:AA115" si="562">IFERROR((Z112-T112)/T112,0)</f>
        <v>1</v>
      </c>
      <c r="AB112" s="206">
        <f>'Μέση ετήσια κατανάλωση'!G80*'Ενεργοί πελάτες'!AD109</f>
        <v>0</v>
      </c>
      <c r="AC112" s="167">
        <f>X112</f>
        <v>1432</v>
      </c>
      <c r="AD112" s="167">
        <f>AB112+AC112</f>
        <v>1432</v>
      </c>
      <c r="AE112" s="6"/>
      <c r="AF112" s="167">
        <f>AD112+AE112</f>
        <v>1432</v>
      </c>
      <c r="AG112" s="203">
        <f>IFERROR((AF112-Z112)/Z112,0)</f>
        <v>0</v>
      </c>
      <c r="AH112" s="206">
        <f>'Μέση ετήσια κατανάλωση'!G80*'Ενεργοί πελάτες'!AG109</f>
        <v>0</v>
      </c>
      <c r="AI112" s="167">
        <f>AD112</f>
        <v>1432</v>
      </c>
      <c r="AJ112" s="167">
        <f>AH112+AI112</f>
        <v>1432</v>
      </c>
      <c r="AK112" s="6"/>
      <c r="AL112" s="167">
        <f>AJ112+AK112</f>
        <v>1432</v>
      </c>
      <c r="AM112" s="203">
        <f>IFERROR((AL112-AF112)/AF112,0)</f>
        <v>0</v>
      </c>
      <c r="AN112" s="206">
        <f>'Μέση ετήσια κατανάλωση'!G80*'Ενεργοί πελάτες'!AJ109</f>
        <v>0</v>
      </c>
      <c r="AO112" s="167">
        <f>AI112</f>
        <v>1432</v>
      </c>
      <c r="AP112" s="167">
        <f>AN112+AO112</f>
        <v>1432</v>
      </c>
      <c r="AQ112" s="6"/>
      <c r="AR112" s="167">
        <f>AP112+AQ112</f>
        <v>1432</v>
      </c>
      <c r="AS112" s="203">
        <f>IFERROR((AR112-AL112)/AL112,0)</f>
        <v>0</v>
      </c>
      <c r="AT112" s="198">
        <f t="shared" ref="AT112:AT115" si="563">T112+Z112+AF112+AL112+AR112</f>
        <v>6444</v>
      </c>
      <c r="AU112" s="199">
        <f t="shared" ref="AU112:AU115" si="564">IFERROR((AR112/T112)^(1/4)-1,0)</f>
        <v>0.18920711500272103</v>
      </c>
    </row>
    <row r="113" spans="2:47" outlineLevel="1" x14ac:dyDescent="0.25">
      <c r="B113" s="52" t="s">
        <v>284</v>
      </c>
      <c r="C113" s="64" t="s">
        <v>26</v>
      </c>
      <c r="D113" s="91">
        <v>0</v>
      </c>
      <c r="E113" s="91">
        <v>0</v>
      </c>
      <c r="F113" s="203">
        <f t="shared" si="558"/>
        <v>0</v>
      </c>
      <c r="G113" s="91">
        <v>0</v>
      </c>
      <c r="H113" s="203">
        <f t="shared" ref="H113:H128" si="565">IFERROR((G113-E113)/E113,0)</f>
        <v>0</v>
      </c>
      <c r="I113" s="91">
        <v>0</v>
      </c>
      <c r="J113" s="203">
        <f t="shared" ref="J113:J128" si="566">IFERROR((I113-G113)/G113,0)</f>
        <v>0</v>
      </c>
      <c r="K113" s="91">
        <v>0</v>
      </c>
      <c r="L113" s="157"/>
      <c r="M113" s="71"/>
      <c r="N113" s="203">
        <f t="shared" ref="N113:N128" si="567">IFERROR((M113-I113)/I113,0)</f>
        <v>0</v>
      </c>
      <c r="O113" s="198">
        <f t="shared" si="559"/>
        <v>0</v>
      </c>
      <c r="P113" s="199">
        <f t="shared" si="560"/>
        <v>0</v>
      </c>
      <c r="R113" s="206">
        <f>'Μέση ετήσια κατανάλωση'!F81*'Ενεργοί πελάτες'!X110</f>
        <v>1015</v>
      </c>
      <c r="S113" s="6"/>
      <c r="T113" s="167">
        <f t="shared" ref="T113:T115" si="568">R113+S113</f>
        <v>1015</v>
      </c>
      <c r="U113" s="228">
        <f t="shared" si="561"/>
        <v>0</v>
      </c>
      <c r="V113" s="206">
        <f>'Μέση ετήσια κατανάλωση'!G81*'Ενεργοί πελάτες'!AA110</f>
        <v>238.8235294117647</v>
      </c>
      <c r="W113" s="167">
        <f t="shared" ref="W113:W120" si="569">T113</f>
        <v>1015</v>
      </c>
      <c r="X113" s="167">
        <f t="shared" ref="X113:X115" si="570">V113+W113</f>
        <v>1253.8235294117646</v>
      </c>
      <c r="Y113" s="6"/>
      <c r="Z113" s="167">
        <f t="shared" ref="Z113:Z115" si="571">X113+Y113</f>
        <v>1253.8235294117646</v>
      </c>
      <c r="AA113" s="203">
        <f t="shared" si="562"/>
        <v>0.23529411764705876</v>
      </c>
      <c r="AB113" s="206">
        <f>'Μέση ετήσια κατανάλωση'!G81*'Ενεργοί πελάτες'!AD110</f>
        <v>238.8235294117647</v>
      </c>
      <c r="AC113" s="167">
        <f t="shared" ref="AC113:AC120" si="572">X113</f>
        <v>1253.8235294117646</v>
      </c>
      <c r="AD113" s="167">
        <f t="shared" ref="AD113:AD115" si="573">AB113+AC113</f>
        <v>1492.6470588235293</v>
      </c>
      <c r="AE113" s="6"/>
      <c r="AF113" s="167">
        <f t="shared" ref="AF113:AF115" si="574">AD113+AE113</f>
        <v>1492.6470588235293</v>
      </c>
      <c r="AG113" s="203">
        <f t="shared" ref="AG113:AG128" si="575">IFERROR((AF113-Z113)/Z113,0)</f>
        <v>0.19047619047619044</v>
      </c>
      <c r="AH113" s="206">
        <f>'Μέση ετήσια κατανάλωση'!G81*'Ενεργοί πελάτες'!AG110</f>
        <v>0</v>
      </c>
      <c r="AI113" s="167">
        <f t="shared" ref="AI113:AI120" si="576">AD113</f>
        <v>1492.6470588235293</v>
      </c>
      <c r="AJ113" s="167">
        <f t="shared" ref="AJ113:AJ115" si="577">AH113+AI113</f>
        <v>1492.6470588235293</v>
      </c>
      <c r="AK113" s="6"/>
      <c r="AL113" s="167">
        <f t="shared" ref="AL113:AL115" si="578">AJ113+AK113</f>
        <v>1492.6470588235293</v>
      </c>
      <c r="AM113" s="203">
        <f t="shared" ref="AM113:AM128" si="579">IFERROR((AL113-AF113)/AF113,0)</f>
        <v>0</v>
      </c>
      <c r="AN113" s="206">
        <f>'Μέση ετήσια κατανάλωση'!G81*'Ενεργοί πελάτες'!AJ110</f>
        <v>0</v>
      </c>
      <c r="AO113" s="167">
        <f t="shared" ref="AO113:AO120" si="580">AI113</f>
        <v>1492.6470588235293</v>
      </c>
      <c r="AP113" s="167">
        <f t="shared" ref="AP113:AP115" si="581">AN113+AO113</f>
        <v>1492.6470588235293</v>
      </c>
      <c r="AQ113" s="6"/>
      <c r="AR113" s="167">
        <f t="shared" ref="AR113:AR115" si="582">AP113+AQ113</f>
        <v>1492.6470588235293</v>
      </c>
      <c r="AS113" s="203">
        <f t="shared" ref="AS113:AS128" si="583">IFERROR((AR113-AL113)/AL113,0)</f>
        <v>0</v>
      </c>
      <c r="AT113" s="198">
        <f t="shared" si="563"/>
        <v>6746.7647058823532</v>
      </c>
      <c r="AU113" s="199">
        <f t="shared" si="564"/>
        <v>0.10121665678542335</v>
      </c>
    </row>
    <row r="114" spans="2:47" outlineLevel="1" x14ac:dyDescent="0.25">
      <c r="B114" s="52" t="s">
        <v>285</v>
      </c>
      <c r="C114" s="64" t="s">
        <v>26</v>
      </c>
      <c r="D114" s="91">
        <v>0</v>
      </c>
      <c r="E114" s="91">
        <v>0</v>
      </c>
      <c r="F114" s="203">
        <f t="shared" si="558"/>
        <v>0</v>
      </c>
      <c r="G114" s="91">
        <v>0</v>
      </c>
      <c r="H114" s="203">
        <f t="shared" si="565"/>
        <v>0</v>
      </c>
      <c r="I114" s="91">
        <v>0</v>
      </c>
      <c r="J114" s="203">
        <f t="shared" si="566"/>
        <v>0</v>
      </c>
      <c r="K114" s="91">
        <v>0</v>
      </c>
      <c r="L114" s="157"/>
      <c r="M114" s="71"/>
      <c r="N114" s="203">
        <f t="shared" si="567"/>
        <v>0</v>
      </c>
      <c r="O114" s="198">
        <f t="shared" si="559"/>
        <v>0</v>
      </c>
      <c r="P114" s="199">
        <f t="shared" si="560"/>
        <v>0</v>
      </c>
      <c r="R114" s="206">
        <f>'Μέση ετήσια κατανάλωση'!F82*'Ενεργοί πελάτες'!X111</f>
        <v>1075</v>
      </c>
      <c r="S114" s="6"/>
      <c r="T114" s="167">
        <f t="shared" si="568"/>
        <v>1075</v>
      </c>
      <c r="U114" s="228">
        <f t="shared" si="561"/>
        <v>0</v>
      </c>
      <c r="V114" s="206">
        <f>'Μέση ετήσια κατανάλωση'!G82*'Ενεργοί πελάτες'!AA111</f>
        <v>477.77777777777777</v>
      </c>
      <c r="W114" s="167">
        <f t="shared" si="569"/>
        <v>1075</v>
      </c>
      <c r="X114" s="167">
        <f t="shared" si="570"/>
        <v>1552.7777777777778</v>
      </c>
      <c r="Y114" s="6"/>
      <c r="Z114" s="167">
        <f t="shared" si="571"/>
        <v>1552.7777777777778</v>
      </c>
      <c r="AA114" s="203">
        <f t="shared" si="562"/>
        <v>0.44444444444444448</v>
      </c>
      <c r="AB114" s="206">
        <f>'Μέση ετήσια κατανάλωση'!G82*'Ενεργοί πελάτες'!AD111</f>
        <v>418.05555555555554</v>
      </c>
      <c r="AC114" s="167">
        <f t="shared" si="572"/>
        <v>1552.7777777777778</v>
      </c>
      <c r="AD114" s="167">
        <f t="shared" si="573"/>
        <v>1970.8333333333335</v>
      </c>
      <c r="AE114" s="6"/>
      <c r="AF114" s="167">
        <f t="shared" si="574"/>
        <v>1970.8333333333335</v>
      </c>
      <c r="AG114" s="203">
        <f t="shared" si="575"/>
        <v>0.26923076923076927</v>
      </c>
      <c r="AH114" s="206">
        <f>'Μέση ετήσια κατανάλωση'!G82*'Ενεργοί πελάτες'!AG111</f>
        <v>0</v>
      </c>
      <c r="AI114" s="167">
        <f t="shared" si="576"/>
        <v>1970.8333333333335</v>
      </c>
      <c r="AJ114" s="167">
        <f t="shared" si="577"/>
        <v>1970.8333333333335</v>
      </c>
      <c r="AK114" s="6"/>
      <c r="AL114" s="167">
        <f t="shared" si="578"/>
        <v>1970.8333333333335</v>
      </c>
      <c r="AM114" s="203">
        <f t="shared" si="579"/>
        <v>0</v>
      </c>
      <c r="AN114" s="206">
        <f>'Μέση ετήσια κατανάλωση'!G82*'Ενεργοί πελάτες'!AJ111</f>
        <v>0</v>
      </c>
      <c r="AO114" s="167">
        <f t="shared" si="580"/>
        <v>1970.8333333333335</v>
      </c>
      <c r="AP114" s="167">
        <f t="shared" si="581"/>
        <v>1970.8333333333335</v>
      </c>
      <c r="AQ114" s="6"/>
      <c r="AR114" s="167">
        <f t="shared" si="582"/>
        <v>1970.8333333333335</v>
      </c>
      <c r="AS114" s="203">
        <f t="shared" si="583"/>
        <v>0</v>
      </c>
      <c r="AT114" s="198">
        <f t="shared" si="563"/>
        <v>8540.2777777777792</v>
      </c>
      <c r="AU114" s="199">
        <f t="shared" si="564"/>
        <v>0.16361780700222184</v>
      </c>
    </row>
    <row r="115" spans="2:47" ht="15" customHeight="1" outlineLevel="1" x14ac:dyDescent="0.25">
      <c r="B115" s="52" t="s">
        <v>286</v>
      </c>
      <c r="C115" s="64" t="s">
        <v>26</v>
      </c>
      <c r="D115" s="91">
        <v>0</v>
      </c>
      <c r="E115" s="91">
        <v>0</v>
      </c>
      <c r="F115" s="203">
        <f t="shared" si="558"/>
        <v>0</v>
      </c>
      <c r="G115" s="91">
        <v>0</v>
      </c>
      <c r="H115" s="203">
        <f t="shared" si="565"/>
        <v>0</v>
      </c>
      <c r="I115" s="91">
        <v>0</v>
      </c>
      <c r="J115" s="203">
        <f t="shared" si="566"/>
        <v>0</v>
      </c>
      <c r="K115" s="91">
        <v>0</v>
      </c>
      <c r="L115" s="157"/>
      <c r="M115" s="71"/>
      <c r="N115" s="203">
        <f t="shared" si="567"/>
        <v>0</v>
      </c>
      <c r="O115" s="198">
        <f t="shared" si="559"/>
        <v>0</v>
      </c>
      <c r="P115" s="199">
        <f t="shared" si="560"/>
        <v>0</v>
      </c>
      <c r="R115" s="206">
        <f>'Μέση ετήσια κατανάλωση'!F83*'Ενεργοί πελάτες'!X112</f>
        <v>239</v>
      </c>
      <c r="S115" s="6"/>
      <c r="T115" s="172">
        <f t="shared" si="568"/>
        <v>239</v>
      </c>
      <c r="U115" s="228">
        <f t="shared" si="561"/>
        <v>0</v>
      </c>
      <c r="V115" s="206">
        <f>'Μέση ετήσια κατανάλωση'!G83*'Ενεργοί πελάτες'!AA112</f>
        <v>956</v>
      </c>
      <c r="W115" s="167">
        <f t="shared" si="569"/>
        <v>239</v>
      </c>
      <c r="X115" s="167">
        <f t="shared" si="570"/>
        <v>1195</v>
      </c>
      <c r="Y115" s="6"/>
      <c r="Z115" s="167">
        <f t="shared" si="571"/>
        <v>1195</v>
      </c>
      <c r="AA115" s="203">
        <f t="shared" si="562"/>
        <v>4</v>
      </c>
      <c r="AB115" s="206">
        <f>'Μέση ετήσια κατανάλωση'!G83*'Ενεργοί πελάτες'!AD112</f>
        <v>239</v>
      </c>
      <c r="AC115" s="167">
        <f t="shared" si="572"/>
        <v>1195</v>
      </c>
      <c r="AD115" s="167">
        <f t="shared" si="573"/>
        <v>1434</v>
      </c>
      <c r="AE115" s="6"/>
      <c r="AF115" s="167">
        <f t="shared" si="574"/>
        <v>1434</v>
      </c>
      <c r="AG115" s="203">
        <f t="shared" si="575"/>
        <v>0.2</v>
      </c>
      <c r="AH115" s="206">
        <f>'Μέση ετήσια κατανάλωση'!G83*'Ενεργοί πελάτες'!AG112</f>
        <v>119.5</v>
      </c>
      <c r="AI115" s="167">
        <f t="shared" si="576"/>
        <v>1434</v>
      </c>
      <c r="AJ115" s="167">
        <f t="shared" si="577"/>
        <v>1553.5</v>
      </c>
      <c r="AK115" s="6"/>
      <c r="AL115" s="167">
        <f t="shared" si="578"/>
        <v>1553.5</v>
      </c>
      <c r="AM115" s="203">
        <f t="shared" si="579"/>
        <v>8.3333333333333329E-2</v>
      </c>
      <c r="AN115" s="206">
        <f>'Μέση ετήσια κατανάλωση'!G83*'Ενεργοί πελάτες'!AJ112</f>
        <v>119.5</v>
      </c>
      <c r="AO115" s="167">
        <f t="shared" si="580"/>
        <v>1434</v>
      </c>
      <c r="AP115" s="167">
        <f t="shared" si="581"/>
        <v>1553.5</v>
      </c>
      <c r="AQ115" s="6"/>
      <c r="AR115" s="167">
        <f t="shared" si="582"/>
        <v>1553.5</v>
      </c>
      <c r="AS115" s="203">
        <f t="shared" si="583"/>
        <v>0</v>
      </c>
      <c r="AT115" s="198">
        <f t="shared" si="563"/>
        <v>5975</v>
      </c>
      <c r="AU115" s="199">
        <f t="shared" si="564"/>
        <v>0.59671843378737011</v>
      </c>
    </row>
    <row r="116" spans="2:47" ht="15" customHeight="1" outlineLevel="1" x14ac:dyDescent="0.25">
      <c r="B116" s="52" t="s">
        <v>287</v>
      </c>
      <c r="C116" s="64" t="s">
        <v>26</v>
      </c>
      <c r="D116" s="91">
        <v>0</v>
      </c>
      <c r="E116" s="91">
        <v>0</v>
      </c>
      <c r="F116" s="203">
        <f t="shared" ref="F116" si="584">IFERROR((E116-D116)/D116,0)</f>
        <v>0</v>
      </c>
      <c r="G116" s="91">
        <v>0</v>
      </c>
      <c r="H116" s="203">
        <f t="shared" ref="H116" si="585">IFERROR((G116-E116)/E116,0)</f>
        <v>0</v>
      </c>
      <c r="I116" s="91">
        <v>0</v>
      </c>
      <c r="J116" s="203">
        <f t="shared" ref="J116" si="586">IFERROR((I116-G116)/G116,0)</f>
        <v>0</v>
      </c>
      <c r="K116" s="91">
        <v>0</v>
      </c>
      <c r="L116" s="157"/>
      <c r="M116" s="71"/>
      <c r="N116" s="203">
        <f t="shared" ref="N116" si="587">IFERROR((M116-I116)/I116,0)</f>
        <v>0</v>
      </c>
      <c r="O116" s="198">
        <f t="shared" ref="O116" si="588">D116+E116+G116+I116+M116</f>
        <v>0</v>
      </c>
      <c r="P116" s="199">
        <f t="shared" ref="P116" si="589">IFERROR((M116/D116)^(1/4)-1,0)</f>
        <v>0</v>
      </c>
      <c r="R116" s="206">
        <f>'Μέση ετήσια κατανάλωση'!F84*'Ενεργοί πελάτες'!X113</f>
        <v>0</v>
      </c>
      <c r="S116" s="6"/>
      <c r="T116" s="172">
        <f t="shared" ref="T116" si="590">R116+S116</f>
        <v>0</v>
      </c>
      <c r="U116" s="228">
        <f t="shared" ref="U116" si="591">IFERROR((T116-M116)/M116,0)</f>
        <v>0</v>
      </c>
      <c r="V116" s="206">
        <f>'Μέση ετήσια κατανάλωση'!G84*'Ενεργοί πελάτες'!AA113</f>
        <v>2700</v>
      </c>
      <c r="W116" s="167">
        <f t="shared" si="569"/>
        <v>0</v>
      </c>
      <c r="X116" s="167">
        <f t="shared" ref="X116" si="592">V116+W116</f>
        <v>2700</v>
      </c>
      <c r="Y116" s="6"/>
      <c r="Z116" s="167">
        <f t="shared" ref="Z116" si="593">X116+Y116</f>
        <v>2700</v>
      </c>
      <c r="AA116" s="203">
        <f t="shared" ref="AA116" si="594">IFERROR((Z116-T116)/T116,0)</f>
        <v>0</v>
      </c>
      <c r="AB116" s="206">
        <f>'Μέση ετήσια κατανάλωση'!G84*'Ενεργοί πελάτες'!AD113</f>
        <v>120</v>
      </c>
      <c r="AC116" s="167">
        <f t="shared" si="572"/>
        <v>2700</v>
      </c>
      <c r="AD116" s="167">
        <f t="shared" ref="AD116" si="595">AB116+AC116</f>
        <v>2820</v>
      </c>
      <c r="AE116" s="6"/>
      <c r="AF116" s="167">
        <f t="shared" ref="AF116" si="596">AD116+AE116</f>
        <v>2820</v>
      </c>
      <c r="AG116" s="203">
        <f t="shared" ref="AG116" si="597">IFERROR((AF116-Z116)/Z116,0)</f>
        <v>4.4444444444444446E-2</v>
      </c>
      <c r="AH116" s="206">
        <f>'Μέση ετήσια κατανάλωση'!G84*'Ενεργοί πελάτες'!AG113</f>
        <v>120</v>
      </c>
      <c r="AI116" s="167">
        <f t="shared" si="576"/>
        <v>2820</v>
      </c>
      <c r="AJ116" s="167">
        <f t="shared" ref="AJ116" si="598">AH116+AI116</f>
        <v>2940</v>
      </c>
      <c r="AK116" s="6"/>
      <c r="AL116" s="167">
        <f t="shared" ref="AL116" si="599">AJ116+AK116</f>
        <v>2940</v>
      </c>
      <c r="AM116" s="203">
        <f t="shared" ref="AM116" si="600">IFERROR((AL116-AF116)/AF116,0)</f>
        <v>4.2553191489361701E-2</v>
      </c>
      <c r="AN116" s="206">
        <f>'Μέση ετήσια κατανάλωση'!G84*'Ενεργοί πελάτες'!AJ113</f>
        <v>120</v>
      </c>
      <c r="AO116" s="167">
        <f t="shared" si="580"/>
        <v>2820</v>
      </c>
      <c r="AP116" s="167">
        <f t="shared" ref="AP116" si="601">AN116+AO116</f>
        <v>2940</v>
      </c>
      <c r="AQ116" s="6"/>
      <c r="AR116" s="167">
        <f t="shared" ref="AR116" si="602">AP116+AQ116</f>
        <v>2940</v>
      </c>
      <c r="AS116" s="203">
        <f t="shared" ref="AS116" si="603">IFERROR((AR116-AL116)/AL116,0)</f>
        <v>0</v>
      </c>
      <c r="AT116" s="198">
        <f t="shared" ref="AT116" si="604">T116+Z116+AF116+AL116+AR116</f>
        <v>11400</v>
      </c>
      <c r="AU116" s="199">
        <f t="shared" ref="AU116" si="605">IFERROR((AR116/T116)^(1/4)-1,0)</f>
        <v>0</v>
      </c>
    </row>
    <row r="117" spans="2:47" ht="15" customHeight="1" outlineLevel="1" x14ac:dyDescent="0.25">
      <c r="B117" s="52" t="s">
        <v>288</v>
      </c>
      <c r="C117" s="64" t="s">
        <v>26</v>
      </c>
      <c r="D117" s="91">
        <v>0</v>
      </c>
      <c r="E117" s="91">
        <v>0</v>
      </c>
      <c r="F117" s="203">
        <f t="shared" ref="F117" si="606">IFERROR((E117-D117)/D117,0)</f>
        <v>0</v>
      </c>
      <c r="G117" s="91">
        <v>0</v>
      </c>
      <c r="H117" s="203">
        <f t="shared" ref="H117" si="607">IFERROR((G117-E117)/E117,0)</f>
        <v>0</v>
      </c>
      <c r="I117" s="91">
        <v>0</v>
      </c>
      <c r="J117" s="203">
        <f t="shared" ref="J117" si="608">IFERROR((I117-G117)/G117,0)</f>
        <v>0</v>
      </c>
      <c r="K117" s="91">
        <v>0</v>
      </c>
      <c r="L117" s="157"/>
      <c r="M117" s="71"/>
      <c r="N117" s="203">
        <f t="shared" ref="N117" si="609">IFERROR((M117-I117)/I117,0)</f>
        <v>0</v>
      </c>
      <c r="O117" s="198">
        <f t="shared" ref="O117" si="610">D117+E117+G117+I117+M117</f>
        <v>0</v>
      </c>
      <c r="P117" s="199">
        <f t="shared" ref="P117" si="611">IFERROR((M117/D117)^(1/4)-1,0)</f>
        <v>0</v>
      </c>
      <c r="R117" s="206">
        <f>'Μέση ετήσια κατανάλωση'!F85*'Ενεργοί πελάτες'!X114</f>
        <v>836</v>
      </c>
      <c r="S117" s="6"/>
      <c r="T117" s="172">
        <f t="shared" ref="T117" si="612">R117+S117</f>
        <v>836</v>
      </c>
      <c r="U117" s="228">
        <f t="shared" ref="U117" si="613">IFERROR((T117-M117)/M117,0)</f>
        <v>0</v>
      </c>
      <c r="V117" s="206">
        <f>'Μέση ετήσια κατανάλωση'!G85*'Ενεργοί πελάτες'!AA114</f>
        <v>80</v>
      </c>
      <c r="W117" s="167">
        <f t="shared" si="569"/>
        <v>836</v>
      </c>
      <c r="X117" s="167">
        <f t="shared" ref="X117" si="614">V117+W117</f>
        <v>916</v>
      </c>
      <c r="Y117" s="6"/>
      <c r="Z117" s="167">
        <f t="shared" ref="Z117" si="615">X117+Y117</f>
        <v>916</v>
      </c>
      <c r="AA117" s="203">
        <f t="shared" ref="AA117" si="616">IFERROR((Z117-T117)/T117,0)</f>
        <v>9.569377990430622E-2</v>
      </c>
      <c r="AB117" s="206">
        <f>'Μέση ετήσια κατανάλωση'!G85*'Ενεργοί πελάτες'!AD114</f>
        <v>0</v>
      </c>
      <c r="AC117" s="167">
        <f t="shared" si="572"/>
        <v>916</v>
      </c>
      <c r="AD117" s="167">
        <f t="shared" ref="AD117" si="617">AB117+AC117</f>
        <v>916</v>
      </c>
      <c r="AE117" s="6"/>
      <c r="AF117" s="167">
        <f t="shared" ref="AF117" si="618">AD117+AE117</f>
        <v>916</v>
      </c>
      <c r="AG117" s="203">
        <f t="shared" ref="AG117" si="619">IFERROR((AF117-Z117)/Z117,0)</f>
        <v>0</v>
      </c>
      <c r="AH117" s="206">
        <f>'Μέση ετήσια κατανάλωση'!G85*'Ενεργοί πελάτες'!AG114</f>
        <v>0</v>
      </c>
      <c r="AI117" s="167">
        <f t="shared" si="576"/>
        <v>916</v>
      </c>
      <c r="AJ117" s="167">
        <f t="shared" ref="AJ117" si="620">AH117+AI117</f>
        <v>916</v>
      </c>
      <c r="AK117" s="6"/>
      <c r="AL117" s="167">
        <f t="shared" ref="AL117" si="621">AJ117+AK117</f>
        <v>916</v>
      </c>
      <c r="AM117" s="203">
        <f t="shared" ref="AM117" si="622">IFERROR((AL117-AF117)/AF117,0)</f>
        <v>0</v>
      </c>
      <c r="AN117" s="206">
        <f>'Μέση ετήσια κατανάλωση'!G85*'Ενεργοί πελάτες'!AJ114</f>
        <v>0</v>
      </c>
      <c r="AO117" s="167">
        <f t="shared" si="580"/>
        <v>916</v>
      </c>
      <c r="AP117" s="167">
        <f t="shared" ref="AP117" si="623">AN117+AO117</f>
        <v>916</v>
      </c>
      <c r="AQ117" s="6"/>
      <c r="AR117" s="167">
        <f t="shared" ref="AR117" si="624">AP117+AQ117</f>
        <v>916</v>
      </c>
      <c r="AS117" s="203">
        <f t="shared" ref="AS117" si="625">IFERROR((AR117-AL117)/AL117,0)</f>
        <v>0</v>
      </c>
      <c r="AT117" s="198">
        <f t="shared" ref="AT117" si="626">T117+Z117+AF117+AL117+AR117</f>
        <v>4500</v>
      </c>
      <c r="AU117" s="199">
        <f t="shared" ref="AU117" si="627">IFERROR((AR117/T117)^(1/4)-1,0)</f>
        <v>2.3109928205046648E-2</v>
      </c>
    </row>
    <row r="118" spans="2:47" ht="15" customHeight="1" outlineLevel="1" x14ac:dyDescent="0.25">
      <c r="B118" s="52" t="s">
        <v>289</v>
      </c>
      <c r="C118" s="64" t="s">
        <v>26</v>
      </c>
      <c r="D118" s="91">
        <v>0</v>
      </c>
      <c r="E118" s="91">
        <v>0</v>
      </c>
      <c r="F118" s="203">
        <f t="shared" ref="F118" si="628">IFERROR((E118-D118)/D118,0)</f>
        <v>0</v>
      </c>
      <c r="G118" s="91">
        <v>0</v>
      </c>
      <c r="H118" s="203">
        <f t="shared" ref="H118" si="629">IFERROR((G118-E118)/E118,0)</f>
        <v>0</v>
      </c>
      <c r="I118" s="91">
        <v>0</v>
      </c>
      <c r="J118" s="203">
        <f t="shared" ref="J118" si="630">IFERROR((I118-G118)/G118,0)</f>
        <v>0</v>
      </c>
      <c r="K118" s="91">
        <v>0</v>
      </c>
      <c r="L118" s="157"/>
      <c r="M118" s="71"/>
      <c r="N118" s="203">
        <f t="shared" ref="N118" si="631">IFERROR((M118-I118)/I118,0)</f>
        <v>0</v>
      </c>
      <c r="O118" s="198">
        <f t="shared" ref="O118" si="632">D118+E118+G118+I118+M118</f>
        <v>0</v>
      </c>
      <c r="P118" s="199">
        <f t="shared" ref="P118" si="633">IFERROR((M118/D118)^(1/4)-1,0)</f>
        <v>0</v>
      </c>
      <c r="R118" s="206">
        <f>'Μέση ετήσια κατανάλωση'!F86*'Ενεργοί πελάτες'!X115</f>
        <v>1273</v>
      </c>
      <c r="S118" s="6"/>
      <c r="T118" s="172">
        <f t="shared" ref="T118" si="634">R118+S118</f>
        <v>1273</v>
      </c>
      <c r="U118" s="228">
        <f t="shared" ref="U118" si="635">IFERROR((T118-M118)/M118,0)</f>
        <v>0</v>
      </c>
      <c r="V118" s="206">
        <f>'Μέση ετήσια κατανάλωση'!G86*'Ενεργοί πελάτες'!AA115</f>
        <v>880</v>
      </c>
      <c r="W118" s="167">
        <f t="shared" si="569"/>
        <v>1273</v>
      </c>
      <c r="X118" s="167">
        <f t="shared" ref="X118" si="636">V118+W118</f>
        <v>2153</v>
      </c>
      <c r="Y118" s="6"/>
      <c r="Z118" s="167">
        <f t="shared" ref="Z118" si="637">X118+Y118</f>
        <v>2153</v>
      </c>
      <c r="AA118" s="203">
        <f t="shared" ref="AA118" si="638">IFERROR((Z118-T118)/T118,0)</f>
        <v>0.69128043990573451</v>
      </c>
      <c r="AB118" s="206">
        <f>'Μέση ετήσια κατανάλωση'!G86*'Ενεργοί πελάτες'!AD115</f>
        <v>240</v>
      </c>
      <c r="AC118" s="167">
        <f t="shared" si="572"/>
        <v>2153</v>
      </c>
      <c r="AD118" s="167">
        <f t="shared" ref="AD118" si="639">AB118+AC118</f>
        <v>2393</v>
      </c>
      <c r="AE118" s="6"/>
      <c r="AF118" s="167">
        <f t="shared" ref="AF118" si="640">AD118+AE118</f>
        <v>2393</v>
      </c>
      <c r="AG118" s="203">
        <f t="shared" ref="AG118" si="641">IFERROR((AF118-Z118)/Z118,0)</f>
        <v>0.1114723641430562</v>
      </c>
      <c r="AH118" s="206">
        <f>'Μέση ετήσια κατανάλωση'!G86*'Ενεργοί πελάτες'!AG115</f>
        <v>160</v>
      </c>
      <c r="AI118" s="167">
        <f t="shared" si="576"/>
        <v>2393</v>
      </c>
      <c r="AJ118" s="167">
        <f t="shared" ref="AJ118" si="642">AH118+AI118</f>
        <v>2553</v>
      </c>
      <c r="AK118" s="6"/>
      <c r="AL118" s="167">
        <f t="shared" ref="AL118" si="643">AJ118+AK118</f>
        <v>2553</v>
      </c>
      <c r="AM118" s="203">
        <f t="shared" ref="AM118" si="644">IFERROR((AL118-AF118)/AF118,0)</f>
        <v>6.6861679899707482E-2</v>
      </c>
      <c r="AN118" s="206">
        <f>'Μέση ετήσια κατανάλωση'!G86*'Ενεργοί πελάτες'!AJ115</f>
        <v>80</v>
      </c>
      <c r="AO118" s="167">
        <f t="shared" si="580"/>
        <v>2393</v>
      </c>
      <c r="AP118" s="167">
        <f t="shared" ref="AP118" si="645">AN118+AO118</f>
        <v>2473</v>
      </c>
      <c r="AQ118" s="6"/>
      <c r="AR118" s="167">
        <f t="shared" ref="AR118" si="646">AP118+AQ118</f>
        <v>2473</v>
      </c>
      <c r="AS118" s="203">
        <f t="shared" ref="AS118" si="647">IFERROR((AR118-AL118)/AL118,0)</f>
        <v>-3.1335683509596556E-2</v>
      </c>
      <c r="AT118" s="198">
        <f t="shared" ref="AT118" si="648">T118+Z118+AF118+AL118+AR118</f>
        <v>10845</v>
      </c>
      <c r="AU118" s="199">
        <f t="shared" ref="AU118" si="649">IFERROR((AR118/T118)^(1/4)-1,0)</f>
        <v>0.18058953215798645</v>
      </c>
    </row>
    <row r="119" spans="2:47" ht="15" customHeight="1" outlineLevel="1" x14ac:dyDescent="0.25">
      <c r="B119" s="52" t="s">
        <v>290</v>
      </c>
      <c r="C119" s="64" t="s">
        <v>26</v>
      </c>
      <c r="D119" s="91">
        <v>0</v>
      </c>
      <c r="E119" s="91">
        <v>0</v>
      </c>
      <c r="F119" s="203">
        <f t="shared" ref="F119" si="650">IFERROR((E119-D119)/D119,0)</f>
        <v>0</v>
      </c>
      <c r="G119" s="91">
        <v>0</v>
      </c>
      <c r="H119" s="203">
        <f t="shared" ref="H119" si="651">IFERROR((G119-E119)/E119,0)</f>
        <v>0</v>
      </c>
      <c r="I119" s="91">
        <v>0</v>
      </c>
      <c r="J119" s="203">
        <f t="shared" ref="J119" si="652">IFERROR((I119-G119)/G119,0)</f>
        <v>0</v>
      </c>
      <c r="K119" s="91">
        <v>0</v>
      </c>
      <c r="L119" s="157"/>
      <c r="M119" s="71"/>
      <c r="N119" s="203">
        <f t="shared" ref="N119" si="653">IFERROR((M119-I119)/I119,0)</f>
        <v>0</v>
      </c>
      <c r="O119" s="198">
        <f t="shared" ref="O119" si="654">D119+E119+G119+I119+M119</f>
        <v>0</v>
      </c>
      <c r="P119" s="199">
        <f t="shared" ref="P119" si="655">IFERROR((M119/D119)^(1/4)-1,0)</f>
        <v>0</v>
      </c>
      <c r="R119" s="206">
        <f>'Μέση ετήσια κατανάλωση'!F87*'Ενεργοί πελάτες'!X116</f>
        <v>3166</v>
      </c>
      <c r="S119" s="6"/>
      <c r="T119" s="172">
        <f t="shared" ref="T119" si="656">R119+S119</f>
        <v>3166</v>
      </c>
      <c r="U119" s="228">
        <f t="shared" ref="U119" si="657">IFERROR((T119-M119)/M119,0)</f>
        <v>0</v>
      </c>
      <c r="V119" s="206">
        <f>'Μέση ετήσια κατανάλωση'!G87*'Ενεργοί πελάτες'!AA116</f>
        <v>560</v>
      </c>
      <c r="W119" s="167">
        <f t="shared" si="569"/>
        <v>3166</v>
      </c>
      <c r="X119" s="167">
        <f t="shared" ref="X119" si="658">V119+W119</f>
        <v>3726</v>
      </c>
      <c r="Y119" s="6"/>
      <c r="Z119" s="167">
        <f t="shared" ref="Z119" si="659">X119+Y119</f>
        <v>3726</v>
      </c>
      <c r="AA119" s="203">
        <f t="shared" ref="AA119" si="660">IFERROR((Z119-T119)/T119,0)</f>
        <v>0.17687934301958308</v>
      </c>
      <c r="AB119" s="206">
        <f>'Μέση ετήσια κατανάλωση'!G87*'Ενεργοί πελάτες'!AD116</f>
        <v>240</v>
      </c>
      <c r="AC119" s="167">
        <f t="shared" si="572"/>
        <v>3726</v>
      </c>
      <c r="AD119" s="167">
        <f t="shared" ref="AD119" si="661">AB119+AC119</f>
        <v>3966</v>
      </c>
      <c r="AE119" s="6"/>
      <c r="AF119" s="167">
        <f t="shared" ref="AF119" si="662">AD119+AE119</f>
        <v>3966</v>
      </c>
      <c r="AG119" s="203">
        <f t="shared" ref="AG119" si="663">IFERROR((AF119-Z119)/Z119,0)</f>
        <v>6.4412238325281798E-2</v>
      </c>
      <c r="AH119" s="206">
        <f>'Μέση ετήσια κατανάλωση'!G87*'Ενεργοί πελάτες'!AG116</f>
        <v>160</v>
      </c>
      <c r="AI119" s="167">
        <f t="shared" si="576"/>
        <v>3966</v>
      </c>
      <c r="AJ119" s="167">
        <f t="shared" ref="AJ119" si="664">AH119+AI119</f>
        <v>4126</v>
      </c>
      <c r="AK119" s="6"/>
      <c r="AL119" s="167">
        <f t="shared" ref="AL119" si="665">AJ119+AK119</f>
        <v>4126</v>
      </c>
      <c r="AM119" s="203">
        <f t="shared" ref="AM119" si="666">IFERROR((AL119-AF119)/AF119,0)</f>
        <v>4.0342914775592535E-2</v>
      </c>
      <c r="AN119" s="206">
        <f>'Μέση ετήσια κατανάλωση'!G87*'Ενεργοί πελάτες'!AJ116</f>
        <v>80</v>
      </c>
      <c r="AO119" s="167">
        <f t="shared" si="580"/>
        <v>3966</v>
      </c>
      <c r="AP119" s="167">
        <f t="shared" ref="AP119" si="667">AN119+AO119</f>
        <v>4046</v>
      </c>
      <c r="AQ119" s="6"/>
      <c r="AR119" s="167">
        <f t="shared" ref="AR119" si="668">AP119+AQ119</f>
        <v>4046</v>
      </c>
      <c r="AS119" s="203">
        <f t="shared" ref="AS119" si="669">IFERROR((AR119-AL119)/AL119,0)</f>
        <v>-1.9389238972370333E-2</v>
      </c>
      <c r="AT119" s="198">
        <f t="shared" ref="AT119" si="670">T119+Z119+AF119+AL119+AR119</f>
        <v>19030</v>
      </c>
      <c r="AU119" s="199">
        <f t="shared" ref="AU119" si="671">IFERROR((AR119/T119)^(1/4)-1,0)</f>
        <v>6.3233720884708466E-2</v>
      </c>
    </row>
    <row r="120" spans="2:47" ht="15" customHeight="1" outlineLevel="1" x14ac:dyDescent="0.25">
      <c r="B120" s="52" t="s">
        <v>291</v>
      </c>
      <c r="C120" s="64" t="s">
        <v>26</v>
      </c>
      <c r="D120" s="91">
        <v>0</v>
      </c>
      <c r="E120" s="91">
        <v>0</v>
      </c>
      <c r="F120" s="203">
        <f t="shared" ref="F120:F126" si="672">IFERROR((E120-D120)/D120,0)</f>
        <v>0</v>
      </c>
      <c r="G120" s="91">
        <v>0</v>
      </c>
      <c r="H120" s="203">
        <f t="shared" ref="H120:H126" si="673">IFERROR((G120-E120)/E120,0)</f>
        <v>0</v>
      </c>
      <c r="I120" s="91">
        <v>0</v>
      </c>
      <c r="J120" s="203">
        <f t="shared" ref="J120:J126" si="674">IFERROR((I120-G120)/G120,0)</f>
        <v>0</v>
      </c>
      <c r="K120" s="91">
        <v>0</v>
      </c>
      <c r="L120" s="157"/>
      <c r="M120" s="71"/>
      <c r="N120" s="203">
        <f t="shared" ref="N120:N126" si="675">IFERROR((M120-I120)/I120,0)</f>
        <v>0</v>
      </c>
      <c r="O120" s="198">
        <f t="shared" ref="O120" si="676">D120+E120+G120+I120+M120</f>
        <v>0</v>
      </c>
      <c r="P120" s="199">
        <f t="shared" ref="P120:P126" si="677">IFERROR((M120/D120)^(1/4)-1,0)</f>
        <v>0</v>
      </c>
      <c r="R120" s="206">
        <f>'Μέση ετήσια κατανάλωση'!F88*'Ενεργοί πελάτες'!X117</f>
        <v>0</v>
      </c>
      <c r="S120" s="6"/>
      <c r="T120" s="172">
        <f t="shared" ref="T120:T124" si="678">R120+S120</f>
        <v>0</v>
      </c>
      <c r="U120" s="228">
        <f t="shared" ref="U120:U126" si="679">IFERROR((T120-M120)/M120,0)</f>
        <v>0</v>
      </c>
      <c r="V120" s="206">
        <f>'Μέση ετήσια κατανάλωση'!G88*'Ενεργοί πελάτες'!AA117</f>
        <v>960</v>
      </c>
      <c r="W120" s="167">
        <f t="shared" si="569"/>
        <v>0</v>
      </c>
      <c r="X120" s="167">
        <f t="shared" ref="X120:X124" si="680">V120+W120</f>
        <v>960</v>
      </c>
      <c r="Y120" s="6"/>
      <c r="Z120" s="167">
        <f t="shared" ref="Z120:Z124" si="681">X120+Y120</f>
        <v>960</v>
      </c>
      <c r="AA120" s="203">
        <f t="shared" ref="AA120:AA126" si="682">IFERROR((Z120-T120)/T120,0)</f>
        <v>0</v>
      </c>
      <c r="AB120" s="206">
        <f>'Μέση ετήσια κατανάλωση'!G88*'Ενεργοί πελάτες'!AD117</f>
        <v>400</v>
      </c>
      <c r="AC120" s="167">
        <f t="shared" si="572"/>
        <v>960</v>
      </c>
      <c r="AD120" s="167">
        <f t="shared" ref="AD120:AD124" si="683">AB120+AC120</f>
        <v>1360</v>
      </c>
      <c r="AE120" s="6"/>
      <c r="AF120" s="167">
        <f t="shared" ref="AF120:AF124" si="684">AD120+AE120</f>
        <v>1360</v>
      </c>
      <c r="AG120" s="203">
        <f t="shared" ref="AG120:AG126" si="685">IFERROR((AF120-Z120)/Z120,0)</f>
        <v>0.41666666666666669</v>
      </c>
      <c r="AH120" s="206">
        <f>'Μέση ετήσια κατανάλωση'!G88*'Ενεργοί πελάτες'!AG117</f>
        <v>0</v>
      </c>
      <c r="AI120" s="167">
        <f t="shared" si="576"/>
        <v>1360</v>
      </c>
      <c r="AJ120" s="167">
        <f t="shared" ref="AJ120:AJ124" si="686">AH120+AI120</f>
        <v>1360</v>
      </c>
      <c r="AK120" s="6"/>
      <c r="AL120" s="167">
        <f t="shared" ref="AL120:AL124" si="687">AJ120+AK120</f>
        <v>1360</v>
      </c>
      <c r="AM120" s="203">
        <f t="shared" ref="AM120:AM126" si="688">IFERROR((AL120-AF120)/AF120,0)</f>
        <v>0</v>
      </c>
      <c r="AN120" s="206">
        <f>'Μέση ετήσια κατανάλωση'!G88*'Ενεργοί πελάτες'!AJ117</f>
        <v>0</v>
      </c>
      <c r="AO120" s="167">
        <f t="shared" si="580"/>
        <v>1360</v>
      </c>
      <c r="AP120" s="167">
        <f t="shared" ref="AP120:AP124" si="689">AN120+AO120</f>
        <v>1360</v>
      </c>
      <c r="AQ120" s="6"/>
      <c r="AR120" s="167">
        <f t="shared" ref="AR120:AR124" si="690">AP120+AQ120</f>
        <v>1360</v>
      </c>
      <c r="AS120" s="203">
        <f t="shared" ref="AS120:AS126" si="691">IFERROR((AR120-AL120)/AL120,0)</f>
        <v>0</v>
      </c>
      <c r="AT120" s="198">
        <f t="shared" ref="AT120:AT124" si="692">T120+Z120+AF120+AL120+AR120</f>
        <v>5040</v>
      </c>
      <c r="AU120" s="199">
        <f t="shared" ref="AU120:AU126" si="693">IFERROR((AR120/T120)^(1/4)-1,0)</f>
        <v>0</v>
      </c>
    </row>
    <row r="121" spans="2:47" ht="15" customHeight="1" outlineLevel="1" x14ac:dyDescent="0.25">
      <c r="B121" s="52" t="s">
        <v>307</v>
      </c>
      <c r="C121" s="64" t="s">
        <v>26</v>
      </c>
      <c r="D121" s="91"/>
      <c r="E121" s="91"/>
      <c r="F121" s="203">
        <f t="shared" si="672"/>
        <v>0</v>
      </c>
      <c r="G121" s="91"/>
      <c r="H121" s="203">
        <f t="shared" si="673"/>
        <v>0</v>
      </c>
      <c r="I121" s="91"/>
      <c r="J121" s="203">
        <f t="shared" si="674"/>
        <v>0</v>
      </c>
      <c r="K121" s="91"/>
      <c r="L121" s="157"/>
      <c r="M121" s="71"/>
      <c r="N121" s="203">
        <f t="shared" si="675"/>
        <v>0</v>
      </c>
      <c r="O121" s="198"/>
      <c r="P121" s="199">
        <f t="shared" si="677"/>
        <v>0</v>
      </c>
      <c r="R121" s="206">
        <f>'Μέση ετήσια κατανάλωση'!F89*'Ενεργοί πελάτες'!X118</f>
        <v>240</v>
      </c>
      <c r="S121" s="6"/>
      <c r="T121" s="172">
        <f t="shared" si="678"/>
        <v>240</v>
      </c>
      <c r="U121" s="228">
        <f t="shared" si="679"/>
        <v>0</v>
      </c>
      <c r="V121" s="206">
        <f>'Μέση ετήσια κατανάλωση'!G89*'Ενεργοί πελάτες'!AA118</f>
        <v>120</v>
      </c>
      <c r="W121" s="167">
        <f t="shared" ref="W121:W125" si="694">T121</f>
        <v>240</v>
      </c>
      <c r="X121" s="167">
        <f t="shared" si="680"/>
        <v>360</v>
      </c>
      <c r="Y121" s="6"/>
      <c r="Z121" s="167">
        <f t="shared" si="681"/>
        <v>360</v>
      </c>
      <c r="AA121" s="203">
        <f t="shared" si="682"/>
        <v>0.5</v>
      </c>
      <c r="AB121" s="206">
        <f>'Μέση ετήσια κατανάλωση'!G89*'Ενεργοί πελάτες'!AD118</f>
        <v>180</v>
      </c>
      <c r="AC121" s="167">
        <f t="shared" ref="AC121:AC125" si="695">X121</f>
        <v>360</v>
      </c>
      <c r="AD121" s="167">
        <f t="shared" si="683"/>
        <v>540</v>
      </c>
      <c r="AE121" s="6"/>
      <c r="AF121" s="167">
        <f t="shared" si="684"/>
        <v>540</v>
      </c>
      <c r="AG121" s="203">
        <f t="shared" si="685"/>
        <v>0.5</v>
      </c>
      <c r="AH121" s="206">
        <f>'Μέση ετήσια κατανάλωση'!G89*'Ενεργοί πελάτες'!AG118</f>
        <v>60</v>
      </c>
      <c r="AI121" s="167">
        <f t="shared" ref="AI121:AI125" si="696">AD121</f>
        <v>540</v>
      </c>
      <c r="AJ121" s="167">
        <f t="shared" si="686"/>
        <v>600</v>
      </c>
      <c r="AK121" s="6"/>
      <c r="AL121" s="167">
        <f t="shared" si="687"/>
        <v>600</v>
      </c>
      <c r="AM121" s="203">
        <f t="shared" si="688"/>
        <v>0.1111111111111111</v>
      </c>
      <c r="AN121" s="206">
        <f>'Μέση ετήσια κατανάλωση'!G89*'Ενεργοί πελάτες'!AJ118</f>
        <v>0</v>
      </c>
      <c r="AO121" s="167">
        <f t="shared" ref="AO121:AO125" si="697">AI121</f>
        <v>540</v>
      </c>
      <c r="AP121" s="167">
        <f t="shared" si="689"/>
        <v>540</v>
      </c>
      <c r="AQ121" s="6"/>
      <c r="AR121" s="167">
        <f t="shared" si="690"/>
        <v>540</v>
      </c>
      <c r="AS121" s="203">
        <f t="shared" si="691"/>
        <v>-0.1</v>
      </c>
      <c r="AT121" s="198">
        <f t="shared" si="692"/>
        <v>2280</v>
      </c>
      <c r="AU121" s="199">
        <f t="shared" si="693"/>
        <v>0.22474487139158894</v>
      </c>
    </row>
    <row r="122" spans="2:47" ht="15" customHeight="1" outlineLevel="1" x14ac:dyDescent="0.25">
      <c r="B122" s="52" t="s">
        <v>304</v>
      </c>
      <c r="C122" s="64" t="s">
        <v>26</v>
      </c>
      <c r="D122" s="91"/>
      <c r="E122" s="91"/>
      <c r="F122" s="203">
        <f t="shared" si="672"/>
        <v>0</v>
      </c>
      <c r="G122" s="91"/>
      <c r="H122" s="203">
        <f t="shared" si="673"/>
        <v>0</v>
      </c>
      <c r="I122" s="91"/>
      <c r="J122" s="203">
        <f t="shared" si="674"/>
        <v>0</v>
      </c>
      <c r="K122" s="91"/>
      <c r="L122" s="157"/>
      <c r="M122" s="71"/>
      <c r="N122" s="203">
        <f t="shared" si="675"/>
        <v>0</v>
      </c>
      <c r="O122" s="198"/>
      <c r="P122" s="199">
        <f t="shared" si="677"/>
        <v>0</v>
      </c>
      <c r="R122" s="206">
        <f>'Μέση ετήσια κατανάλωση'!F90*'Ενεργοί πελάτες'!X119</f>
        <v>360</v>
      </c>
      <c r="S122" s="6"/>
      <c r="T122" s="172">
        <f t="shared" si="678"/>
        <v>360</v>
      </c>
      <c r="U122" s="228">
        <f t="shared" si="679"/>
        <v>0</v>
      </c>
      <c r="V122" s="206">
        <f>'Μέση ετήσια κατανάλωση'!G90*'Ενεργοί πελάτες'!AA119</f>
        <v>120</v>
      </c>
      <c r="W122" s="167">
        <f t="shared" si="694"/>
        <v>360</v>
      </c>
      <c r="X122" s="167">
        <f t="shared" si="680"/>
        <v>480</v>
      </c>
      <c r="Y122" s="6"/>
      <c r="Z122" s="167">
        <f t="shared" si="681"/>
        <v>480</v>
      </c>
      <c r="AA122" s="203">
        <f t="shared" si="682"/>
        <v>0.33333333333333331</v>
      </c>
      <c r="AB122" s="206">
        <f>'Μέση ετήσια κατανάλωση'!G90*'Ενεργοί πελάτες'!AD119</f>
        <v>120</v>
      </c>
      <c r="AC122" s="167">
        <f t="shared" si="695"/>
        <v>480</v>
      </c>
      <c r="AD122" s="167">
        <f t="shared" si="683"/>
        <v>600</v>
      </c>
      <c r="AE122" s="6"/>
      <c r="AF122" s="167">
        <f t="shared" si="684"/>
        <v>600</v>
      </c>
      <c r="AG122" s="203">
        <f t="shared" si="685"/>
        <v>0.25</v>
      </c>
      <c r="AH122" s="206">
        <f>'Μέση ετήσια κατανάλωση'!G90*'Ενεργοί πελάτες'!AG119</f>
        <v>60</v>
      </c>
      <c r="AI122" s="167">
        <f t="shared" si="696"/>
        <v>600</v>
      </c>
      <c r="AJ122" s="167">
        <f t="shared" si="686"/>
        <v>660</v>
      </c>
      <c r="AK122" s="6"/>
      <c r="AL122" s="167">
        <f t="shared" si="687"/>
        <v>660</v>
      </c>
      <c r="AM122" s="203">
        <f t="shared" si="688"/>
        <v>0.1</v>
      </c>
      <c r="AN122" s="206">
        <f>'Μέση ετήσια κατανάλωση'!G90*'Ενεργοί πελάτες'!AJ119</f>
        <v>0</v>
      </c>
      <c r="AO122" s="167">
        <f t="shared" si="697"/>
        <v>600</v>
      </c>
      <c r="AP122" s="167">
        <f t="shared" si="689"/>
        <v>600</v>
      </c>
      <c r="AQ122" s="6"/>
      <c r="AR122" s="167">
        <f t="shared" si="690"/>
        <v>600</v>
      </c>
      <c r="AS122" s="203">
        <f t="shared" si="691"/>
        <v>-9.0909090909090912E-2</v>
      </c>
      <c r="AT122" s="198">
        <f t="shared" si="692"/>
        <v>2700</v>
      </c>
      <c r="AU122" s="199">
        <f t="shared" si="693"/>
        <v>0.13621936646749933</v>
      </c>
    </row>
    <row r="123" spans="2:47" ht="15" customHeight="1" outlineLevel="1" x14ac:dyDescent="0.25">
      <c r="B123" s="52" t="s">
        <v>305</v>
      </c>
      <c r="C123" s="64" t="s">
        <v>26</v>
      </c>
      <c r="D123" s="91"/>
      <c r="E123" s="91"/>
      <c r="F123" s="203">
        <f t="shared" si="672"/>
        <v>0</v>
      </c>
      <c r="G123" s="91"/>
      <c r="H123" s="203">
        <f t="shared" si="673"/>
        <v>0</v>
      </c>
      <c r="I123" s="91"/>
      <c r="J123" s="203">
        <f t="shared" si="674"/>
        <v>0</v>
      </c>
      <c r="K123" s="91"/>
      <c r="L123" s="157"/>
      <c r="M123" s="71"/>
      <c r="N123" s="203">
        <f t="shared" si="675"/>
        <v>0</v>
      </c>
      <c r="O123" s="198"/>
      <c r="P123" s="199">
        <f t="shared" si="677"/>
        <v>0</v>
      </c>
      <c r="R123" s="206">
        <f>'Μέση ετήσια κατανάλωση'!F91*'Ενεργοί πελάτες'!X120</f>
        <v>300</v>
      </c>
      <c r="S123" s="6"/>
      <c r="T123" s="172">
        <f t="shared" si="678"/>
        <v>300</v>
      </c>
      <c r="U123" s="228">
        <f t="shared" si="679"/>
        <v>0</v>
      </c>
      <c r="V123" s="206">
        <f>'Μέση ετήσια κατανάλωση'!G91*'Ενεργοί πελάτες'!AA120</f>
        <v>120</v>
      </c>
      <c r="W123" s="167">
        <f t="shared" si="694"/>
        <v>300</v>
      </c>
      <c r="X123" s="167">
        <f t="shared" si="680"/>
        <v>420</v>
      </c>
      <c r="Y123" s="6"/>
      <c r="Z123" s="167">
        <f t="shared" si="681"/>
        <v>420</v>
      </c>
      <c r="AA123" s="203">
        <f t="shared" si="682"/>
        <v>0.4</v>
      </c>
      <c r="AB123" s="206">
        <f>'Μέση ετήσια κατανάλωση'!G91*'Ενεργοί πελάτες'!AD120</f>
        <v>120</v>
      </c>
      <c r="AC123" s="167">
        <f t="shared" si="695"/>
        <v>420</v>
      </c>
      <c r="AD123" s="167">
        <f t="shared" si="683"/>
        <v>540</v>
      </c>
      <c r="AE123" s="6"/>
      <c r="AF123" s="167">
        <f t="shared" si="684"/>
        <v>540</v>
      </c>
      <c r="AG123" s="203">
        <f t="shared" si="685"/>
        <v>0.2857142857142857</v>
      </c>
      <c r="AH123" s="206">
        <f>'Μέση ετήσια κατανάλωση'!G91*'Ενεργοί πελάτες'!AG120</f>
        <v>60</v>
      </c>
      <c r="AI123" s="167">
        <f t="shared" si="696"/>
        <v>540</v>
      </c>
      <c r="AJ123" s="167">
        <f t="shared" si="686"/>
        <v>600</v>
      </c>
      <c r="AK123" s="6"/>
      <c r="AL123" s="167">
        <f t="shared" si="687"/>
        <v>600</v>
      </c>
      <c r="AM123" s="203">
        <f t="shared" si="688"/>
        <v>0.1111111111111111</v>
      </c>
      <c r="AN123" s="206">
        <f>'Μέση ετήσια κατανάλωση'!G91*'Ενεργοί πελάτες'!AJ120</f>
        <v>0</v>
      </c>
      <c r="AO123" s="167">
        <f t="shared" si="697"/>
        <v>540</v>
      </c>
      <c r="AP123" s="167">
        <f t="shared" si="689"/>
        <v>540</v>
      </c>
      <c r="AQ123" s="6"/>
      <c r="AR123" s="167">
        <f t="shared" si="690"/>
        <v>540</v>
      </c>
      <c r="AS123" s="203">
        <f t="shared" si="691"/>
        <v>-0.1</v>
      </c>
      <c r="AT123" s="198">
        <f t="shared" si="692"/>
        <v>2400</v>
      </c>
      <c r="AU123" s="199">
        <f t="shared" si="693"/>
        <v>0.15829218528826905</v>
      </c>
    </row>
    <row r="124" spans="2:47" ht="15" customHeight="1" outlineLevel="1" x14ac:dyDescent="0.25">
      <c r="B124" s="52" t="s">
        <v>306</v>
      </c>
      <c r="C124" s="64" t="s">
        <v>26</v>
      </c>
      <c r="D124" s="91"/>
      <c r="E124" s="91"/>
      <c r="F124" s="203">
        <f t="shared" si="672"/>
        <v>0</v>
      </c>
      <c r="G124" s="91"/>
      <c r="H124" s="203">
        <f t="shared" si="673"/>
        <v>0</v>
      </c>
      <c r="I124" s="91"/>
      <c r="J124" s="203">
        <f t="shared" si="674"/>
        <v>0</v>
      </c>
      <c r="K124" s="91"/>
      <c r="L124" s="157"/>
      <c r="M124" s="71"/>
      <c r="N124" s="203">
        <f t="shared" si="675"/>
        <v>0</v>
      </c>
      <c r="O124" s="198"/>
      <c r="P124" s="199">
        <f t="shared" si="677"/>
        <v>0</v>
      </c>
      <c r="R124" s="206">
        <f>'Μέση ετήσια κατανάλωση'!F92*'Ενεργοί πελάτες'!X121</f>
        <v>420</v>
      </c>
      <c r="S124" s="6"/>
      <c r="T124" s="172">
        <f t="shared" si="678"/>
        <v>420</v>
      </c>
      <c r="U124" s="228">
        <f t="shared" si="679"/>
        <v>0</v>
      </c>
      <c r="V124" s="206">
        <f>'Μέση ετήσια κατανάλωση'!G92*'Ενεργοί πελάτες'!AA121</f>
        <v>300</v>
      </c>
      <c r="W124" s="167">
        <f t="shared" si="694"/>
        <v>420</v>
      </c>
      <c r="X124" s="167">
        <f t="shared" si="680"/>
        <v>720</v>
      </c>
      <c r="Y124" s="6"/>
      <c r="Z124" s="167">
        <f t="shared" si="681"/>
        <v>720</v>
      </c>
      <c r="AA124" s="203">
        <f t="shared" si="682"/>
        <v>0.7142857142857143</v>
      </c>
      <c r="AB124" s="206">
        <f>'Μέση ετήσια κατανάλωση'!G92*'Ενεργοί πελάτες'!AD121</f>
        <v>240</v>
      </c>
      <c r="AC124" s="167">
        <f t="shared" si="695"/>
        <v>720</v>
      </c>
      <c r="AD124" s="167">
        <f t="shared" si="683"/>
        <v>960</v>
      </c>
      <c r="AE124" s="6"/>
      <c r="AF124" s="167">
        <f t="shared" si="684"/>
        <v>960</v>
      </c>
      <c r="AG124" s="203">
        <f t="shared" si="685"/>
        <v>0.33333333333333331</v>
      </c>
      <c r="AH124" s="206">
        <f>'Μέση ετήσια κατανάλωση'!G92*'Ενεργοί πελάτες'!AG121</f>
        <v>300</v>
      </c>
      <c r="AI124" s="167">
        <f t="shared" si="696"/>
        <v>960</v>
      </c>
      <c r="AJ124" s="167">
        <f t="shared" si="686"/>
        <v>1260</v>
      </c>
      <c r="AK124" s="6"/>
      <c r="AL124" s="167">
        <f t="shared" si="687"/>
        <v>1260</v>
      </c>
      <c r="AM124" s="203">
        <f t="shared" si="688"/>
        <v>0.3125</v>
      </c>
      <c r="AN124" s="206">
        <f>'Μέση ετήσια κατανάλωση'!G92*'Ενεργοί πελάτες'!AJ121</f>
        <v>600</v>
      </c>
      <c r="AO124" s="167">
        <f t="shared" si="697"/>
        <v>960</v>
      </c>
      <c r="AP124" s="167">
        <f t="shared" si="689"/>
        <v>1560</v>
      </c>
      <c r="AQ124" s="6"/>
      <c r="AR124" s="167">
        <f t="shared" si="690"/>
        <v>1560</v>
      </c>
      <c r="AS124" s="203">
        <f t="shared" si="691"/>
        <v>0.23809523809523808</v>
      </c>
      <c r="AT124" s="198">
        <f t="shared" si="692"/>
        <v>4920</v>
      </c>
      <c r="AU124" s="199">
        <f t="shared" si="693"/>
        <v>0.38825365957337321</v>
      </c>
    </row>
    <row r="125" spans="2:47" ht="15" customHeight="1" outlineLevel="1" x14ac:dyDescent="0.25">
      <c r="B125" s="52" t="s">
        <v>308</v>
      </c>
      <c r="C125" s="64" t="s">
        <v>26</v>
      </c>
      <c r="D125" s="91"/>
      <c r="E125" s="91"/>
      <c r="F125" s="203">
        <f t="shared" si="672"/>
        <v>0</v>
      </c>
      <c r="G125" s="91"/>
      <c r="H125" s="203">
        <f t="shared" si="673"/>
        <v>0</v>
      </c>
      <c r="I125" s="91"/>
      <c r="J125" s="203">
        <f t="shared" si="674"/>
        <v>0</v>
      </c>
      <c r="K125" s="91"/>
      <c r="L125" s="157"/>
      <c r="M125" s="71"/>
      <c r="N125" s="203">
        <f t="shared" si="675"/>
        <v>0</v>
      </c>
      <c r="O125" s="198"/>
      <c r="P125" s="199">
        <f t="shared" si="677"/>
        <v>0</v>
      </c>
      <c r="R125" s="206">
        <f>'Μέση ετήσια κατανάλωση'!F93*'Ενεργοί πελάτες'!X122</f>
        <v>540</v>
      </c>
      <c r="S125" s="6"/>
      <c r="T125" s="172">
        <f t="shared" ref="T125" si="698">R125+S125</f>
        <v>540</v>
      </c>
      <c r="U125" s="228">
        <f t="shared" ref="U125" si="699">IFERROR((T125-M125)/M125,0)</f>
        <v>0</v>
      </c>
      <c r="V125" s="206">
        <f>'Μέση ετήσια κατανάλωση'!G93*'Ενεργοί πελάτες'!AA122</f>
        <v>900</v>
      </c>
      <c r="W125" s="167">
        <f t="shared" si="694"/>
        <v>540</v>
      </c>
      <c r="X125" s="167">
        <f t="shared" ref="X125" si="700">V125+W125</f>
        <v>1440</v>
      </c>
      <c r="Y125" s="6"/>
      <c r="Z125" s="167">
        <f t="shared" ref="Z125" si="701">X125+Y125</f>
        <v>1440</v>
      </c>
      <c r="AA125" s="203">
        <f t="shared" ref="AA125" si="702">IFERROR((Z125-T125)/T125,0)</f>
        <v>1.6666666666666667</v>
      </c>
      <c r="AB125" s="206">
        <f>'Μέση ετήσια κατανάλωση'!G93*'Ενεργοί πελάτες'!AD122</f>
        <v>780</v>
      </c>
      <c r="AC125" s="167">
        <f t="shared" si="695"/>
        <v>1440</v>
      </c>
      <c r="AD125" s="167">
        <f t="shared" ref="AD125" si="703">AB125+AC125</f>
        <v>2220</v>
      </c>
      <c r="AE125" s="6"/>
      <c r="AF125" s="167">
        <f t="shared" ref="AF125" si="704">AD125+AE125</f>
        <v>2220</v>
      </c>
      <c r="AG125" s="203">
        <f t="shared" ref="AG125" si="705">IFERROR((AF125-Z125)/Z125,0)</f>
        <v>0.54166666666666663</v>
      </c>
      <c r="AH125" s="206">
        <f>'Μέση ετήσια κατανάλωση'!G93*'Ενεργοί πελάτες'!AG122</f>
        <v>1020</v>
      </c>
      <c r="AI125" s="167">
        <f t="shared" si="696"/>
        <v>2220</v>
      </c>
      <c r="AJ125" s="167">
        <f t="shared" ref="AJ125" si="706">AH125+AI125</f>
        <v>3240</v>
      </c>
      <c r="AK125" s="6"/>
      <c r="AL125" s="167">
        <f t="shared" ref="AL125" si="707">AJ125+AK125</f>
        <v>3240</v>
      </c>
      <c r="AM125" s="203">
        <f t="shared" ref="AM125" si="708">IFERROR((AL125-AF125)/AF125,0)</f>
        <v>0.45945945945945948</v>
      </c>
      <c r="AN125" s="206">
        <f>'Μέση ετήσια κατανάλωση'!G93*'Ενεργοί πελάτες'!AJ122</f>
        <v>600</v>
      </c>
      <c r="AO125" s="167">
        <f t="shared" si="697"/>
        <v>2220</v>
      </c>
      <c r="AP125" s="167">
        <f t="shared" ref="AP125" si="709">AN125+AO125</f>
        <v>2820</v>
      </c>
      <c r="AQ125" s="6"/>
      <c r="AR125" s="167">
        <f t="shared" ref="AR125" si="710">AP125+AQ125</f>
        <v>2820</v>
      </c>
      <c r="AS125" s="203">
        <f t="shared" ref="AS125" si="711">IFERROR((AR125-AL125)/AL125,0)</f>
        <v>-0.12962962962962962</v>
      </c>
      <c r="AT125" s="198">
        <f t="shared" ref="AT125" si="712">T125+Z125+AF125+AL125+AR125</f>
        <v>10260</v>
      </c>
      <c r="AU125" s="199">
        <f t="shared" ref="AU125" si="713">IFERROR((AR125/T125)^(1/4)-1,0)</f>
        <v>0.51169381824947657</v>
      </c>
    </row>
    <row r="126" spans="2:47" ht="15" customHeight="1" outlineLevel="1" x14ac:dyDescent="0.25">
      <c r="B126" s="52"/>
      <c r="C126" s="64"/>
      <c r="D126" s="91"/>
      <c r="E126" s="91"/>
      <c r="F126" s="203">
        <f t="shared" si="672"/>
        <v>0</v>
      </c>
      <c r="G126" s="91"/>
      <c r="H126" s="203">
        <f t="shared" si="673"/>
        <v>0</v>
      </c>
      <c r="I126" s="91"/>
      <c r="J126" s="203">
        <f t="shared" si="674"/>
        <v>0</v>
      </c>
      <c r="K126" s="91"/>
      <c r="L126" s="157"/>
      <c r="M126" s="71"/>
      <c r="N126" s="203">
        <f t="shared" si="675"/>
        <v>0</v>
      </c>
      <c r="O126" s="198"/>
      <c r="P126" s="199">
        <f t="shared" si="677"/>
        <v>0</v>
      </c>
      <c r="R126" s="206"/>
      <c r="S126" s="6"/>
      <c r="T126" s="172"/>
      <c r="U126" s="228">
        <f t="shared" si="679"/>
        <v>0</v>
      </c>
      <c r="V126" s="206"/>
      <c r="W126" s="167"/>
      <c r="X126" s="167"/>
      <c r="Y126" s="6"/>
      <c r="Z126" s="167"/>
      <c r="AA126" s="203">
        <f t="shared" si="682"/>
        <v>0</v>
      </c>
      <c r="AB126" s="206"/>
      <c r="AC126" s="167"/>
      <c r="AD126" s="167"/>
      <c r="AE126" s="6"/>
      <c r="AF126" s="167"/>
      <c r="AG126" s="203">
        <f t="shared" si="685"/>
        <v>0</v>
      </c>
      <c r="AH126" s="206"/>
      <c r="AI126" s="167"/>
      <c r="AJ126" s="167"/>
      <c r="AK126" s="6"/>
      <c r="AL126" s="167"/>
      <c r="AM126" s="203">
        <f t="shared" si="688"/>
        <v>0</v>
      </c>
      <c r="AN126" s="206"/>
      <c r="AO126" s="167"/>
      <c r="AP126" s="167"/>
      <c r="AQ126" s="6"/>
      <c r="AR126" s="167"/>
      <c r="AS126" s="203">
        <f t="shared" si="691"/>
        <v>0</v>
      </c>
      <c r="AT126" s="198"/>
      <c r="AU126" s="199">
        <f t="shared" si="693"/>
        <v>0</v>
      </c>
    </row>
    <row r="127" spans="2:47" ht="13.15" customHeight="1" outlineLevel="1" x14ac:dyDescent="0.25">
      <c r="B127" s="349" t="s">
        <v>90</v>
      </c>
      <c r="C127" s="350"/>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97"/>
    </row>
    <row r="128" spans="2:47" ht="15" customHeight="1" outlineLevel="1" x14ac:dyDescent="0.25">
      <c r="B128" s="52" t="s">
        <v>82</v>
      </c>
      <c r="C128" s="49" t="s">
        <v>26</v>
      </c>
      <c r="D128" s="231">
        <f>SUM(D112:D126)</f>
        <v>0</v>
      </c>
      <c r="E128" s="207">
        <f>SUM(E112:E126)</f>
        <v>0</v>
      </c>
      <c r="F128" s="202">
        <f>IFERROR((E128-D128)/D128,0)</f>
        <v>0</v>
      </c>
      <c r="G128" s="207">
        <f>SUM(G112:G126)</f>
        <v>0</v>
      </c>
      <c r="H128" s="202">
        <f t="shared" si="565"/>
        <v>0</v>
      </c>
      <c r="I128" s="207">
        <f>SUM(I112:I126)</f>
        <v>0</v>
      </c>
      <c r="J128" s="202">
        <f t="shared" si="566"/>
        <v>0</v>
      </c>
      <c r="K128" s="207">
        <f>SUM(K112:K126)</f>
        <v>0</v>
      </c>
      <c r="L128" s="159"/>
      <c r="M128" s="207">
        <f>SUM(M112:M126)</f>
        <v>0</v>
      </c>
      <c r="N128" s="202">
        <f t="shared" si="567"/>
        <v>0</v>
      </c>
      <c r="O128" s="218">
        <f>SUM(O112:O126)</f>
        <v>0</v>
      </c>
      <c r="P128" s="199">
        <f>IFERROR((M128/D128)^(1/4)-1,0)</f>
        <v>0</v>
      </c>
      <c r="R128" s="207">
        <f>SUM(R112:R126)</f>
        <v>10180</v>
      </c>
      <c r="S128" s="187">
        <f>SUM(S112:S126)</f>
        <v>0</v>
      </c>
      <c r="T128" s="187">
        <f>SUM(T112:T126)</f>
        <v>10180</v>
      </c>
      <c r="U128" s="202">
        <f>IFERROR((T128-M128)/M128,0)</f>
        <v>0</v>
      </c>
      <c r="V128" s="207">
        <f>SUM(V112:V126)</f>
        <v>9128.6013071895431</v>
      </c>
      <c r="W128" s="172">
        <f>SUM(W112:W126)</f>
        <v>10180</v>
      </c>
      <c r="X128" s="172">
        <f>SUM(X112:X126)</f>
        <v>19308.601307189543</v>
      </c>
      <c r="Y128" s="172">
        <f>SUM(Y112:Y126)</f>
        <v>0</v>
      </c>
      <c r="Z128" s="172">
        <f>SUM(Z112:Z126)</f>
        <v>19308.601307189543</v>
      </c>
      <c r="AA128" s="202">
        <f>IFERROR((Z128-T128)/T128,0)</f>
        <v>0.89671918538207696</v>
      </c>
      <c r="AB128" s="207">
        <f>SUM(AB112:AB126)</f>
        <v>3335.8790849673205</v>
      </c>
      <c r="AC128" s="172">
        <f>SUM(AC112:AC126)</f>
        <v>19308.601307189543</v>
      </c>
      <c r="AD128" s="172">
        <f>SUM(AD112:AD126)</f>
        <v>22644.480392156864</v>
      </c>
      <c r="AE128" s="172">
        <f>SUM(AE112:AE126)</f>
        <v>0</v>
      </c>
      <c r="AF128" s="172">
        <f>SUM(AF112:AF126)</f>
        <v>22644.480392156864</v>
      </c>
      <c r="AG128" s="202">
        <f t="shared" si="575"/>
        <v>0.17276648017612795</v>
      </c>
      <c r="AH128" s="207">
        <f>SUM(AH112:AH126)</f>
        <v>2059.5</v>
      </c>
      <c r="AI128" s="172">
        <f>SUM(AI112:AI126)</f>
        <v>22644.480392156864</v>
      </c>
      <c r="AJ128" s="172">
        <f>SUM(AJ112:AJ126)</f>
        <v>24703.980392156864</v>
      </c>
      <c r="AK128" s="172">
        <f>SUM(AK112:AK126)</f>
        <v>0</v>
      </c>
      <c r="AL128" s="172">
        <f>SUM(AL112:AL126)</f>
        <v>24703.980392156864</v>
      </c>
      <c r="AM128" s="202">
        <f t="shared" si="579"/>
        <v>9.0949315874491329E-2</v>
      </c>
      <c r="AN128" s="207">
        <f>SUM(AN112:AN126)</f>
        <v>1599.5</v>
      </c>
      <c r="AO128" s="172">
        <f>SUM(AO112:AO126)</f>
        <v>22644.480392156864</v>
      </c>
      <c r="AP128" s="172">
        <f>SUM(AP112:AP126)</f>
        <v>24243.980392156864</v>
      </c>
      <c r="AQ128" s="172">
        <f>SUM(AQ112:AQ126)</f>
        <v>0</v>
      </c>
      <c r="AR128" s="172">
        <f>SUM(AR112:AR126)</f>
        <v>24243.980392156864</v>
      </c>
      <c r="AS128" s="202">
        <f t="shared" si="583"/>
        <v>-1.8620481100529166E-2</v>
      </c>
      <c r="AT128" s="218">
        <f>SUM(AT112:AT126)</f>
        <v>101081.04248366013</v>
      </c>
      <c r="AU128" s="199">
        <f>IFERROR((AR128/T128)^(1/4)-1,0)</f>
        <v>0.24226439098879382</v>
      </c>
    </row>
    <row r="130" spans="2:47" ht="15.75" x14ac:dyDescent="0.25">
      <c r="B130" s="352" t="s">
        <v>13</v>
      </c>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row>
    <row r="131" spans="2:47" ht="5.45" customHeight="1" outlineLevel="1" x14ac:dyDescent="0.2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row>
    <row r="132" spans="2:47" outlineLevel="1" x14ac:dyDescent="0.25">
      <c r="B132" s="393"/>
      <c r="C132" s="396" t="s">
        <v>20</v>
      </c>
      <c r="D132" s="372" t="s">
        <v>262</v>
      </c>
      <c r="E132" s="373"/>
      <c r="F132" s="373"/>
      <c r="G132" s="373"/>
      <c r="H132" s="373"/>
      <c r="I132" s="373"/>
      <c r="J132" s="373"/>
      <c r="K132" s="373"/>
      <c r="L132" s="374"/>
      <c r="M132" s="372" t="s">
        <v>260</v>
      </c>
      <c r="N132" s="374"/>
      <c r="O132" s="388" t="str">
        <f xml:space="preserve"> D133&amp;" - "&amp;M133</f>
        <v>2018 - 2022</v>
      </c>
      <c r="P132" s="398"/>
      <c r="R132" s="372" t="s">
        <v>261</v>
      </c>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4"/>
    </row>
    <row r="133" spans="2:47" outlineLevel="1" x14ac:dyDescent="0.25">
      <c r="B133" s="394"/>
      <c r="C133" s="396"/>
      <c r="D133" s="88">
        <f>$C$3-5</f>
        <v>2018</v>
      </c>
      <c r="E133" s="372">
        <f>$C$3-4</f>
        <v>2019</v>
      </c>
      <c r="F133" s="374"/>
      <c r="G133" s="372">
        <f>$C$3-3</f>
        <v>2020</v>
      </c>
      <c r="H133" s="374"/>
      <c r="I133" s="372">
        <f>$C$3-2</f>
        <v>2021</v>
      </c>
      <c r="J133" s="374"/>
      <c r="K133" s="372" t="str">
        <f>$C$3-1&amp;""&amp;" ("&amp;"Σεπτ"&amp;")"</f>
        <v>2022 (Σεπτ)</v>
      </c>
      <c r="L133" s="374"/>
      <c r="M133" s="372">
        <f>$C$3-1</f>
        <v>2022</v>
      </c>
      <c r="N133" s="374"/>
      <c r="O133" s="390"/>
      <c r="P133" s="399"/>
      <c r="R133" s="416">
        <f>$C$3</f>
        <v>2023</v>
      </c>
      <c r="S133" s="403"/>
      <c r="T133" s="403"/>
      <c r="U133" s="418"/>
      <c r="V133" s="416">
        <f>$C$3+1</f>
        <v>2024</v>
      </c>
      <c r="W133" s="403"/>
      <c r="X133" s="403"/>
      <c r="Y133" s="403"/>
      <c r="Z133" s="403"/>
      <c r="AA133" s="418"/>
      <c r="AB133" s="372">
        <f>$C$3+2</f>
        <v>2025</v>
      </c>
      <c r="AC133" s="373"/>
      <c r="AD133" s="373"/>
      <c r="AE133" s="373"/>
      <c r="AF133" s="373"/>
      <c r="AG133" s="374"/>
      <c r="AH133" s="372">
        <f>$C$3+3</f>
        <v>2026</v>
      </c>
      <c r="AI133" s="373"/>
      <c r="AJ133" s="373"/>
      <c r="AK133" s="373"/>
      <c r="AL133" s="373"/>
      <c r="AM133" s="374"/>
      <c r="AN133" s="372">
        <f>$C$3+4</f>
        <v>2027</v>
      </c>
      <c r="AO133" s="373"/>
      <c r="AP133" s="373"/>
      <c r="AQ133" s="373"/>
      <c r="AR133" s="373"/>
      <c r="AS133" s="374"/>
      <c r="AT133" s="376" t="str">
        <f>R133&amp;" - "&amp;AN133</f>
        <v>2023 - 2027</v>
      </c>
      <c r="AU133" s="392"/>
    </row>
    <row r="134" spans="2:47" ht="15" customHeight="1" outlineLevel="1" x14ac:dyDescent="0.25">
      <c r="B134" s="394"/>
      <c r="C134" s="396"/>
      <c r="D134" s="419" t="s">
        <v>142</v>
      </c>
      <c r="E134" s="421" t="s">
        <v>142</v>
      </c>
      <c r="F134" s="423" t="s">
        <v>81</v>
      </c>
      <c r="G134" s="421" t="s">
        <v>142</v>
      </c>
      <c r="H134" s="423" t="s">
        <v>81</v>
      </c>
      <c r="I134" s="421" t="s">
        <v>142</v>
      </c>
      <c r="J134" s="427" t="s">
        <v>81</v>
      </c>
      <c r="K134" s="421" t="s">
        <v>142</v>
      </c>
      <c r="L134" s="427" t="s">
        <v>81</v>
      </c>
      <c r="M134" s="421" t="s">
        <v>142</v>
      </c>
      <c r="N134" s="427" t="s">
        <v>81</v>
      </c>
      <c r="O134" s="421" t="s">
        <v>17</v>
      </c>
      <c r="P134" s="425" t="s">
        <v>83</v>
      </c>
      <c r="R134" s="421" t="str">
        <f>"Διανεμόμενες ποσότητες σε πελάτες που συνδέθηκαν το "&amp;R133</f>
        <v>Διανεμόμενες ποσότητες σε πελάτες που συνδέθηκαν το 2023</v>
      </c>
      <c r="S134" s="417" t="s">
        <v>146</v>
      </c>
      <c r="T134" s="417" t="s">
        <v>143</v>
      </c>
      <c r="U134" s="415" t="s">
        <v>81</v>
      </c>
      <c r="V134" s="416" t="s">
        <v>144</v>
      </c>
      <c r="W134" s="403"/>
      <c r="X134" s="403"/>
      <c r="Y134" s="417" t="s">
        <v>146</v>
      </c>
      <c r="Z134" s="417" t="s">
        <v>143</v>
      </c>
      <c r="AA134" s="418" t="s">
        <v>81</v>
      </c>
      <c r="AB134" s="416" t="s">
        <v>144</v>
      </c>
      <c r="AC134" s="403"/>
      <c r="AD134" s="403"/>
      <c r="AE134" s="417" t="s">
        <v>146</v>
      </c>
      <c r="AF134" s="417" t="s">
        <v>143</v>
      </c>
      <c r="AG134" s="418" t="s">
        <v>81</v>
      </c>
      <c r="AH134" s="416" t="s">
        <v>144</v>
      </c>
      <c r="AI134" s="403"/>
      <c r="AJ134" s="403"/>
      <c r="AK134" s="417" t="s">
        <v>146</v>
      </c>
      <c r="AL134" s="417" t="s">
        <v>143</v>
      </c>
      <c r="AM134" s="418" t="s">
        <v>81</v>
      </c>
      <c r="AN134" s="416" t="s">
        <v>144</v>
      </c>
      <c r="AO134" s="403"/>
      <c r="AP134" s="403"/>
      <c r="AQ134" s="417" t="s">
        <v>146</v>
      </c>
      <c r="AR134" s="417" t="s">
        <v>143</v>
      </c>
      <c r="AS134" s="418" t="s">
        <v>81</v>
      </c>
      <c r="AT134" s="430" t="s">
        <v>17</v>
      </c>
      <c r="AU134" s="428" t="s">
        <v>83</v>
      </c>
    </row>
    <row r="135" spans="2:47" ht="60" outlineLevel="1" x14ac:dyDescent="0.25">
      <c r="B135" s="395"/>
      <c r="C135" s="396"/>
      <c r="D135" s="420"/>
      <c r="E135" s="422"/>
      <c r="F135" s="424"/>
      <c r="G135" s="422"/>
      <c r="H135" s="424"/>
      <c r="I135" s="422"/>
      <c r="J135" s="380"/>
      <c r="K135" s="422"/>
      <c r="L135" s="380"/>
      <c r="M135" s="422"/>
      <c r="N135" s="380"/>
      <c r="O135" s="422"/>
      <c r="P135" s="426"/>
      <c r="R135" s="422"/>
      <c r="S135" s="417"/>
      <c r="T135" s="417"/>
      <c r="U135" s="415"/>
      <c r="V135" s="135" t="str">
        <f>"Διανεμόμενες ποσότητες σε πελάτες που συνδέθηκαν το "&amp;V133</f>
        <v>Διανεμόμενες ποσότητες σε πελάτες που συνδέθηκαν το 2024</v>
      </c>
      <c r="W135" s="117" t="str">
        <f>"Διανεμόμενες ποσότητες σε πελάτες που συνδέθηκαν το "&amp;R133</f>
        <v>Διανεμόμενες ποσότητες σε πελάτες που συνδέθηκαν το 2023</v>
      </c>
      <c r="X135" s="60" t="s">
        <v>145</v>
      </c>
      <c r="Y135" s="417"/>
      <c r="Z135" s="417"/>
      <c r="AA135" s="418"/>
      <c r="AB135" s="135" t="str">
        <f>"Διανεμόμενες ποσότητες σε πελάτες που συνδέθηκαν το "&amp;AB133</f>
        <v>Διανεμόμενες ποσότητες σε πελάτες που συνδέθηκαν το 2025</v>
      </c>
      <c r="AC135" s="117" t="str">
        <f>"Διανεμόμενες ποσότητες σε πελάτες που συνδέθηκαν το "&amp;$R$12&amp;" - "&amp;V133</f>
        <v>Διανεμόμενες ποσότητες σε πελάτες που συνδέθηκαν το 2023 - 2024</v>
      </c>
      <c r="AD135" s="60" t="s">
        <v>145</v>
      </c>
      <c r="AE135" s="417"/>
      <c r="AF135" s="417"/>
      <c r="AG135" s="418"/>
      <c r="AH135" s="135" t="str">
        <f>"Διανεμόμενες ποσότητες σε πελάτες που συνδέθηκαν το "&amp;AH133</f>
        <v>Διανεμόμενες ποσότητες σε πελάτες που συνδέθηκαν το 2026</v>
      </c>
      <c r="AI135" s="117" t="str">
        <f>"Διανεμόμενες ποσότητες σε πελάτες που συνδέθηκαν το "&amp;$R$12&amp;" - "&amp;AB133</f>
        <v>Διανεμόμενες ποσότητες σε πελάτες που συνδέθηκαν το 2023 - 2025</v>
      </c>
      <c r="AJ135" s="60" t="s">
        <v>145</v>
      </c>
      <c r="AK135" s="417"/>
      <c r="AL135" s="417"/>
      <c r="AM135" s="418"/>
      <c r="AN135" s="135" t="str">
        <f>"Διανεμόμενες ποσότητες σε πελάτες που συνδέθηκαν το "&amp;AN133</f>
        <v>Διανεμόμενες ποσότητες σε πελάτες που συνδέθηκαν το 2027</v>
      </c>
      <c r="AO135" s="117" t="str">
        <f>"Διανεμόμενες ποσότητες σε πελάτες που συνδέθηκαν το "&amp;$R$12&amp;" - "&amp;AH133</f>
        <v>Διανεμόμενες ποσότητες σε πελάτες που συνδέθηκαν το 2023 - 2026</v>
      </c>
      <c r="AP135" s="60" t="s">
        <v>145</v>
      </c>
      <c r="AQ135" s="417"/>
      <c r="AR135" s="417"/>
      <c r="AS135" s="418"/>
      <c r="AT135" s="431"/>
      <c r="AU135" s="429"/>
    </row>
    <row r="136" spans="2:47" outlineLevel="1" x14ac:dyDescent="0.25">
      <c r="B136" s="281" t="s">
        <v>283</v>
      </c>
      <c r="C136" s="64" t="s">
        <v>26</v>
      </c>
      <c r="D136" s="91">
        <v>0</v>
      </c>
      <c r="E136" s="91">
        <v>0</v>
      </c>
      <c r="F136" s="203">
        <f t="shared" ref="F136:F139" si="714">IFERROR((E136-D136)/D136,0)</f>
        <v>0</v>
      </c>
      <c r="G136" s="91">
        <v>0</v>
      </c>
      <c r="H136" s="203">
        <f>IFERROR((G136-E136)/E136,0)</f>
        <v>0</v>
      </c>
      <c r="I136" s="91">
        <v>0</v>
      </c>
      <c r="J136" s="203">
        <f>IFERROR((I136-G136)/G136,0)</f>
        <v>0</v>
      </c>
      <c r="K136" s="91">
        <v>0</v>
      </c>
      <c r="L136" s="157"/>
      <c r="M136" s="71"/>
      <c r="N136" s="203">
        <f>IFERROR((M136-I136)/I136,0)</f>
        <v>0</v>
      </c>
      <c r="O136" s="198">
        <f t="shared" ref="O136:O139" si="715">D136+E136+G136+I136+M136</f>
        <v>0</v>
      </c>
      <c r="P136" s="199">
        <f t="shared" ref="P136:P139" si="716">IFERROR((M136/D136)^(1/4)-1,0)</f>
        <v>0</v>
      </c>
      <c r="R136" s="206">
        <f>'Μέση ετήσια κατανάλωση'!F102*'Ενεργοί πελάτες'!X132</f>
        <v>0</v>
      </c>
      <c r="S136" s="6"/>
      <c r="T136" s="167">
        <f>R136+S136</f>
        <v>0</v>
      </c>
      <c r="U136" s="228">
        <f t="shared" ref="U136:U139" si="717">IFERROR((T136-M136)/M136,0)</f>
        <v>0</v>
      </c>
      <c r="V136" s="206">
        <f>'Μέση ετήσια κατανάλωση'!G102*'Ενεργοί πελάτες'!AA132</f>
        <v>0</v>
      </c>
      <c r="W136" s="167">
        <f>T136</f>
        <v>0</v>
      </c>
      <c r="X136" s="167">
        <f>V136+W136</f>
        <v>0</v>
      </c>
      <c r="Y136" s="6"/>
      <c r="Z136" s="167">
        <f>X136+Y136</f>
        <v>0</v>
      </c>
      <c r="AA136" s="203">
        <f t="shared" ref="AA136:AA139" si="718">IFERROR((Z136-T136)/T136,0)</f>
        <v>0</v>
      </c>
      <c r="AB136" s="206">
        <f>'Μέση ετήσια κατανάλωση'!G102*'Ενεργοί πελάτες'!AD132</f>
        <v>0</v>
      </c>
      <c r="AC136" s="167">
        <f>X136</f>
        <v>0</v>
      </c>
      <c r="AD136" s="167">
        <f>AB136+AC136</f>
        <v>0</v>
      </c>
      <c r="AE136" s="6"/>
      <c r="AF136" s="167">
        <f>AD136+AE136</f>
        <v>0</v>
      </c>
      <c r="AG136" s="203">
        <f>IFERROR((AF136-Z136)/Z136,0)</f>
        <v>0</v>
      </c>
      <c r="AH136" s="206">
        <f>'Μέση ετήσια κατανάλωση'!G102*'Ενεργοί πελάτες'!AG132</f>
        <v>0</v>
      </c>
      <c r="AI136" s="167">
        <f>AD136</f>
        <v>0</v>
      </c>
      <c r="AJ136" s="167">
        <f>AH136+AI136</f>
        <v>0</v>
      </c>
      <c r="AK136" s="6"/>
      <c r="AL136" s="167">
        <f>AJ136+AK136</f>
        <v>0</v>
      </c>
      <c r="AM136" s="203">
        <f>IFERROR((AL136-AF136)/AF136,0)</f>
        <v>0</v>
      </c>
      <c r="AN136" s="206">
        <f>'Μέση ετήσια κατανάλωση'!G102*'Ενεργοί πελάτες'!AJ132</f>
        <v>0</v>
      </c>
      <c r="AO136" s="167">
        <f>AJ136</f>
        <v>0</v>
      </c>
      <c r="AP136" s="167">
        <f>AN136+AO136</f>
        <v>0</v>
      </c>
      <c r="AQ136" s="6"/>
      <c r="AR136" s="167">
        <f>AP136+AQ136</f>
        <v>0</v>
      </c>
      <c r="AS136" s="203">
        <f>IFERROR((AR136-AL136)/AL136,0)</f>
        <v>0</v>
      </c>
      <c r="AT136" s="198">
        <f t="shared" ref="AT136:AT139" si="719">T136+Z136+AF136+AL136+AR136</f>
        <v>0</v>
      </c>
      <c r="AU136" s="199">
        <f t="shared" ref="AU136:AU139" si="720">IFERROR((AR136/T136)^(1/4)-1,0)</f>
        <v>0</v>
      </c>
    </row>
    <row r="137" spans="2:47" outlineLevel="1" x14ac:dyDescent="0.25">
      <c r="B137" s="52" t="s">
        <v>284</v>
      </c>
      <c r="C137" s="64" t="s">
        <v>26</v>
      </c>
      <c r="D137" s="91">
        <v>0</v>
      </c>
      <c r="E137" s="91">
        <v>0</v>
      </c>
      <c r="F137" s="203">
        <f t="shared" si="714"/>
        <v>0</v>
      </c>
      <c r="G137" s="91">
        <v>0</v>
      </c>
      <c r="H137" s="203">
        <f t="shared" ref="H137:H152" si="721">IFERROR((G137-E137)/E137,0)</f>
        <v>0</v>
      </c>
      <c r="I137" s="91">
        <v>0</v>
      </c>
      <c r="J137" s="203">
        <f t="shared" ref="J137:J152" si="722">IFERROR((I137-G137)/G137,0)</f>
        <v>0</v>
      </c>
      <c r="K137" s="91">
        <v>0</v>
      </c>
      <c r="L137" s="157"/>
      <c r="M137" s="71"/>
      <c r="N137" s="203">
        <f t="shared" ref="N137:N152" si="723">IFERROR((M137-I137)/I137,0)</f>
        <v>0</v>
      </c>
      <c r="O137" s="198">
        <f t="shared" si="715"/>
        <v>0</v>
      </c>
      <c r="P137" s="199">
        <f t="shared" si="716"/>
        <v>0</v>
      </c>
      <c r="R137" s="206">
        <f>'Μέση ετήσια κατανάλωση'!F103*'Ενεργοί πελάτες'!X133</f>
        <v>0</v>
      </c>
      <c r="S137" s="6"/>
      <c r="T137" s="167">
        <f t="shared" ref="T137:T139" si="724">R137+S137</f>
        <v>0</v>
      </c>
      <c r="U137" s="228">
        <f t="shared" si="717"/>
        <v>0</v>
      </c>
      <c r="V137" s="206">
        <f>'Μέση ετήσια κατανάλωση'!G103*'Ενεργοί πελάτες'!AA133</f>
        <v>0</v>
      </c>
      <c r="W137" s="167">
        <f t="shared" ref="W137:W143" si="725">T137</f>
        <v>0</v>
      </c>
      <c r="X137" s="167">
        <f t="shared" ref="X137:X139" si="726">V137+W137</f>
        <v>0</v>
      </c>
      <c r="Y137" s="6"/>
      <c r="Z137" s="167">
        <f t="shared" ref="Z137:Z139" si="727">X137+Y137</f>
        <v>0</v>
      </c>
      <c r="AA137" s="203">
        <f t="shared" si="718"/>
        <v>0</v>
      </c>
      <c r="AB137" s="206">
        <f>'Μέση ετήσια κατανάλωση'!G103*'Ενεργοί πελάτες'!AD133</f>
        <v>0</v>
      </c>
      <c r="AC137" s="167">
        <f t="shared" ref="AC137:AC143" si="728">X137</f>
        <v>0</v>
      </c>
      <c r="AD137" s="167">
        <f t="shared" ref="AD137:AD139" si="729">AB137+AC137</f>
        <v>0</v>
      </c>
      <c r="AE137" s="6"/>
      <c r="AF137" s="167">
        <f t="shared" ref="AF137:AF139" si="730">AD137+AE137</f>
        <v>0</v>
      </c>
      <c r="AG137" s="203">
        <f t="shared" ref="AG137:AG152" si="731">IFERROR((AF137-Z137)/Z137,0)</f>
        <v>0</v>
      </c>
      <c r="AH137" s="206">
        <f>'Μέση ετήσια κατανάλωση'!G103*'Ενεργοί πελάτες'!AG133</f>
        <v>0</v>
      </c>
      <c r="AI137" s="167">
        <f t="shared" ref="AI137:AI143" si="732">AD137</f>
        <v>0</v>
      </c>
      <c r="AJ137" s="167">
        <f t="shared" ref="AJ137:AJ139" si="733">AH137+AI137</f>
        <v>0</v>
      </c>
      <c r="AK137" s="6"/>
      <c r="AL137" s="167">
        <f t="shared" ref="AL137:AL139" si="734">AJ137+AK137</f>
        <v>0</v>
      </c>
      <c r="AM137" s="203">
        <f t="shared" ref="AM137:AM152" si="735">IFERROR((AL137-AF137)/AF137,0)</f>
        <v>0</v>
      </c>
      <c r="AN137" s="206">
        <f>'Μέση ετήσια κατανάλωση'!G103*'Ενεργοί πελάτες'!AJ133</f>
        <v>0</v>
      </c>
      <c r="AO137" s="167">
        <f t="shared" ref="AO137:AO143" si="736">AJ137</f>
        <v>0</v>
      </c>
      <c r="AP137" s="167">
        <f t="shared" ref="AP137:AP139" si="737">AN137+AO137</f>
        <v>0</v>
      </c>
      <c r="AQ137" s="6"/>
      <c r="AR137" s="167">
        <f t="shared" ref="AR137:AR139" si="738">AP137+AQ137</f>
        <v>0</v>
      </c>
      <c r="AS137" s="203">
        <f t="shared" ref="AS137:AS152" si="739">IFERROR((AR137-AL137)/AL137,0)</f>
        <v>0</v>
      </c>
      <c r="AT137" s="198">
        <f t="shared" si="719"/>
        <v>0</v>
      </c>
      <c r="AU137" s="199">
        <f t="shared" si="720"/>
        <v>0</v>
      </c>
    </row>
    <row r="138" spans="2:47" outlineLevel="1" x14ac:dyDescent="0.25">
      <c r="B138" s="52" t="s">
        <v>285</v>
      </c>
      <c r="C138" s="64" t="s">
        <v>26</v>
      </c>
      <c r="D138" s="91">
        <v>0</v>
      </c>
      <c r="E138" s="91">
        <v>0</v>
      </c>
      <c r="F138" s="203">
        <f t="shared" si="714"/>
        <v>0</v>
      </c>
      <c r="G138" s="91">
        <v>0</v>
      </c>
      <c r="H138" s="203">
        <f t="shared" si="721"/>
        <v>0</v>
      </c>
      <c r="I138" s="91">
        <v>0</v>
      </c>
      <c r="J138" s="203">
        <f t="shared" si="722"/>
        <v>0</v>
      </c>
      <c r="K138" s="91">
        <v>0</v>
      </c>
      <c r="L138" s="157"/>
      <c r="M138" s="71"/>
      <c r="N138" s="203">
        <f t="shared" si="723"/>
        <v>0</v>
      </c>
      <c r="O138" s="198">
        <f t="shared" si="715"/>
        <v>0</v>
      </c>
      <c r="P138" s="199">
        <f t="shared" si="716"/>
        <v>0</v>
      </c>
      <c r="R138" s="206">
        <f>'Μέση ετήσια κατανάλωση'!F104*'Ενεργοί πελάτες'!X134</f>
        <v>0</v>
      </c>
      <c r="S138" s="6"/>
      <c r="T138" s="167">
        <f t="shared" si="724"/>
        <v>0</v>
      </c>
      <c r="U138" s="228">
        <f t="shared" si="717"/>
        <v>0</v>
      </c>
      <c r="V138" s="206">
        <f>'Μέση ετήσια κατανάλωση'!G104*'Ενεργοί πελάτες'!AA134</f>
        <v>0</v>
      </c>
      <c r="W138" s="167">
        <f t="shared" si="725"/>
        <v>0</v>
      </c>
      <c r="X138" s="167">
        <f t="shared" si="726"/>
        <v>0</v>
      </c>
      <c r="Y138" s="6"/>
      <c r="Z138" s="167">
        <f t="shared" si="727"/>
        <v>0</v>
      </c>
      <c r="AA138" s="203">
        <f t="shared" si="718"/>
        <v>0</v>
      </c>
      <c r="AB138" s="206">
        <f>'Μέση ετήσια κατανάλωση'!G104*'Ενεργοί πελάτες'!AD134</f>
        <v>0</v>
      </c>
      <c r="AC138" s="167">
        <f t="shared" si="728"/>
        <v>0</v>
      </c>
      <c r="AD138" s="167">
        <f t="shared" si="729"/>
        <v>0</v>
      </c>
      <c r="AE138" s="6"/>
      <c r="AF138" s="167">
        <f t="shared" si="730"/>
        <v>0</v>
      </c>
      <c r="AG138" s="203">
        <f t="shared" si="731"/>
        <v>0</v>
      </c>
      <c r="AH138" s="206">
        <f>'Μέση ετήσια κατανάλωση'!G104*'Ενεργοί πελάτες'!AG134</f>
        <v>0</v>
      </c>
      <c r="AI138" s="167">
        <f t="shared" si="732"/>
        <v>0</v>
      </c>
      <c r="AJ138" s="167">
        <f t="shared" si="733"/>
        <v>0</v>
      </c>
      <c r="AK138" s="6"/>
      <c r="AL138" s="167">
        <f t="shared" si="734"/>
        <v>0</v>
      </c>
      <c r="AM138" s="203">
        <f t="shared" si="735"/>
        <v>0</v>
      </c>
      <c r="AN138" s="206">
        <f>'Μέση ετήσια κατανάλωση'!G104*'Ενεργοί πελάτες'!AJ134</f>
        <v>0</v>
      </c>
      <c r="AO138" s="167">
        <f t="shared" si="736"/>
        <v>0</v>
      </c>
      <c r="AP138" s="167">
        <f t="shared" si="737"/>
        <v>0</v>
      </c>
      <c r="AQ138" s="6"/>
      <c r="AR138" s="167">
        <f t="shared" si="738"/>
        <v>0</v>
      </c>
      <c r="AS138" s="203">
        <f t="shared" si="739"/>
        <v>0</v>
      </c>
      <c r="AT138" s="198">
        <f t="shared" si="719"/>
        <v>0</v>
      </c>
      <c r="AU138" s="199">
        <f t="shared" si="720"/>
        <v>0</v>
      </c>
    </row>
    <row r="139" spans="2:47" ht="15" customHeight="1" outlineLevel="1" x14ac:dyDescent="0.25">
      <c r="B139" s="52" t="s">
        <v>286</v>
      </c>
      <c r="C139" s="64" t="s">
        <v>26</v>
      </c>
      <c r="D139" s="91">
        <v>0</v>
      </c>
      <c r="E139" s="91">
        <v>0</v>
      </c>
      <c r="F139" s="203">
        <f t="shared" si="714"/>
        <v>0</v>
      </c>
      <c r="G139" s="91">
        <v>0</v>
      </c>
      <c r="H139" s="203">
        <f t="shared" si="721"/>
        <v>0</v>
      </c>
      <c r="I139" s="91">
        <v>0</v>
      </c>
      <c r="J139" s="203">
        <f t="shared" si="722"/>
        <v>0</v>
      </c>
      <c r="K139" s="91">
        <v>0</v>
      </c>
      <c r="L139" s="157"/>
      <c r="M139" s="71"/>
      <c r="N139" s="203">
        <f t="shared" si="723"/>
        <v>0</v>
      </c>
      <c r="O139" s="198">
        <f t="shared" si="715"/>
        <v>0</v>
      </c>
      <c r="P139" s="199">
        <f t="shared" si="716"/>
        <v>0</v>
      </c>
      <c r="R139" s="206">
        <f>'Μέση ετήσια κατανάλωση'!F105*'Ενεργοί πελάτες'!X135</f>
        <v>0</v>
      </c>
      <c r="S139" s="6"/>
      <c r="T139" s="172">
        <f t="shared" si="724"/>
        <v>0</v>
      </c>
      <c r="U139" s="228">
        <f t="shared" si="717"/>
        <v>0</v>
      </c>
      <c r="V139" s="206">
        <f>'Μέση ετήσια κατανάλωση'!G105*'Ενεργοί πελάτες'!AA135</f>
        <v>40000</v>
      </c>
      <c r="W139" s="167">
        <f t="shared" si="725"/>
        <v>0</v>
      </c>
      <c r="X139" s="167">
        <f t="shared" si="726"/>
        <v>40000</v>
      </c>
      <c r="Y139" s="6"/>
      <c r="Z139" s="167">
        <f t="shared" si="727"/>
        <v>40000</v>
      </c>
      <c r="AA139" s="203">
        <f t="shared" si="718"/>
        <v>0</v>
      </c>
      <c r="AB139" s="206">
        <f>'Μέση ετήσια κατανάλωση'!G105*'Ενεργοί πελάτες'!AD135</f>
        <v>40000</v>
      </c>
      <c r="AC139" s="167">
        <f t="shared" si="728"/>
        <v>40000</v>
      </c>
      <c r="AD139" s="167">
        <f t="shared" si="729"/>
        <v>80000</v>
      </c>
      <c r="AE139" s="6"/>
      <c r="AF139" s="167">
        <f t="shared" si="730"/>
        <v>80000</v>
      </c>
      <c r="AG139" s="203">
        <f t="shared" si="731"/>
        <v>1</v>
      </c>
      <c r="AH139" s="206">
        <f>'Μέση ετήσια κατανάλωση'!G105*'Ενεργοί πελάτες'!AG135</f>
        <v>60000</v>
      </c>
      <c r="AI139" s="167">
        <f t="shared" si="732"/>
        <v>80000</v>
      </c>
      <c r="AJ139" s="167">
        <f t="shared" si="733"/>
        <v>140000</v>
      </c>
      <c r="AK139" s="6"/>
      <c r="AL139" s="167">
        <f t="shared" si="734"/>
        <v>140000</v>
      </c>
      <c r="AM139" s="203">
        <f t="shared" si="735"/>
        <v>0.75</v>
      </c>
      <c r="AN139" s="206">
        <f>'Μέση ετήσια κατανάλωση'!G105*'Ενεργοί πελάτες'!AJ135</f>
        <v>20000</v>
      </c>
      <c r="AO139" s="167">
        <f t="shared" si="736"/>
        <v>140000</v>
      </c>
      <c r="AP139" s="167">
        <f t="shared" si="737"/>
        <v>160000</v>
      </c>
      <c r="AQ139" s="6"/>
      <c r="AR139" s="167">
        <f t="shared" si="738"/>
        <v>160000</v>
      </c>
      <c r="AS139" s="203">
        <f t="shared" si="739"/>
        <v>0.14285714285714285</v>
      </c>
      <c r="AT139" s="198">
        <f t="shared" si="719"/>
        <v>420000</v>
      </c>
      <c r="AU139" s="199">
        <f t="shared" si="720"/>
        <v>0</v>
      </c>
    </row>
    <row r="140" spans="2:47" ht="15" customHeight="1" outlineLevel="1" x14ac:dyDescent="0.25">
      <c r="B140" s="52" t="s">
        <v>287</v>
      </c>
      <c r="C140" s="64" t="s">
        <v>26</v>
      </c>
      <c r="D140" s="91">
        <v>0</v>
      </c>
      <c r="E140" s="91">
        <v>0</v>
      </c>
      <c r="F140" s="203">
        <f t="shared" ref="F140" si="740">IFERROR((E140-D140)/D140,0)</f>
        <v>0</v>
      </c>
      <c r="G140" s="91">
        <v>0</v>
      </c>
      <c r="H140" s="203">
        <f t="shared" ref="H140" si="741">IFERROR((G140-E140)/E140,0)</f>
        <v>0</v>
      </c>
      <c r="I140" s="91">
        <v>0</v>
      </c>
      <c r="J140" s="203">
        <f t="shared" ref="J140" si="742">IFERROR((I140-G140)/G140,0)</f>
        <v>0</v>
      </c>
      <c r="K140" s="91">
        <v>0</v>
      </c>
      <c r="L140" s="157"/>
      <c r="M140" s="71"/>
      <c r="N140" s="203">
        <f t="shared" ref="N140" si="743">IFERROR((M140-I140)/I140,0)</f>
        <v>0</v>
      </c>
      <c r="O140" s="198">
        <f t="shared" ref="O140" si="744">D140+E140+G140+I140+M140</f>
        <v>0</v>
      </c>
      <c r="P140" s="199">
        <f t="shared" ref="P140" si="745">IFERROR((M140/D140)^(1/4)-1,0)</f>
        <v>0</v>
      </c>
      <c r="R140" s="206">
        <f>'Μέση ετήσια κατανάλωση'!F106*'Ενεργοί πελάτες'!X136</f>
        <v>0</v>
      </c>
      <c r="S140" s="6"/>
      <c r="T140" s="172">
        <f t="shared" ref="T140" si="746">R140+S140</f>
        <v>0</v>
      </c>
      <c r="U140" s="228">
        <f t="shared" ref="U140" si="747">IFERROR((T140-M140)/M140,0)</f>
        <v>0</v>
      </c>
      <c r="V140" s="206">
        <f>'Μέση ετήσια κατανάλωση'!G106*'Ενεργοί πελάτες'!AA136</f>
        <v>80000</v>
      </c>
      <c r="W140" s="167">
        <f t="shared" si="725"/>
        <v>0</v>
      </c>
      <c r="X140" s="167">
        <f t="shared" ref="X140" si="748">V140+W140</f>
        <v>80000</v>
      </c>
      <c r="Y140" s="6"/>
      <c r="Z140" s="167">
        <f t="shared" ref="Z140" si="749">X140+Y140</f>
        <v>80000</v>
      </c>
      <c r="AA140" s="203">
        <f t="shared" ref="AA140" si="750">IFERROR((Z140-T140)/T140,0)</f>
        <v>0</v>
      </c>
      <c r="AB140" s="206">
        <f>'Μέση ετήσια κατανάλωση'!G106*'Ενεργοί πελάτες'!AD136</f>
        <v>40000</v>
      </c>
      <c r="AC140" s="167">
        <f t="shared" si="728"/>
        <v>80000</v>
      </c>
      <c r="AD140" s="167">
        <f t="shared" ref="AD140" si="751">AB140+AC140</f>
        <v>120000</v>
      </c>
      <c r="AE140" s="6"/>
      <c r="AF140" s="167">
        <f t="shared" ref="AF140" si="752">AD140+AE140</f>
        <v>120000</v>
      </c>
      <c r="AG140" s="203">
        <f t="shared" ref="AG140" si="753">IFERROR((AF140-Z140)/Z140,0)</f>
        <v>0.5</v>
      </c>
      <c r="AH140" s="206">
        <f>'Μέση ετήσια κατανάλωση'!G106*'Ενεργοί πελάτες'!AG136</f>
        <v>20000</v>
      </c>
      <c r="AI140" s="167">
        <f t="shared" si="732"/>
        <v>120000</v>
      </c>
      <c r="AJ140" s="167">
        <f t="shared" ref="AJ140" si="754">AH140+AI140</f>
        <v>140000</v>
      </c>
      <c r="AK140" s="6"/>
      <c r="AL140" s="167">
        <f t="shared" ref="AL140" si="755">AJ140+AK140</f>
        <v>140000</v>
      </c>
      <c r="AM140" s="203">
        <f t="shared" ref="AM140" si="756">IFERROR((AL140-AF140)/AF140,0)</f>
        <v>0.16666666666666666</v>
      </c>
      <c r="AN140" s="206">
        <f>'Μέση ετήσια κατανάλωση'!G106*'Ενεργοί πελάτες'!AJ136</f>
        <v>20000</v>
      </c>
      <c r="AO140" s="167">
        <f t="shared" si="736"/>
        <v>140000</v>
      </c>
      <c r="AP140" s="167">
        <f t="shared" ref="AP140" si="757">AN140+AO140</f>
        <v>160000</v>
      </c>
      <c r="AQ140" s="6"/>
      <c r="AR140" s="167">
        <f t="shared" ref="AR140" si="758">AP140+AQ140</f>
        <v>160000</v>
      </c>
      <c r="AS140" s="203">
        <f t="shared" ref="AS140" si="759">IFERROR((AR140-AL140)/AL140,0)</f>
        <v>0.14285714285714285</v>
      </c>
      <c r="AT140" s="198">
        <f t="shared" ref="AT140" si="760">T140+Z140+AF140+AL140+AR140</f>
        <v>500000</v>
      </c>
      <c r="AU140" s="199">
        <f t="shared" ref="AU140" si="761">IFERROR((AR140/T140)^(1/4)-1,0)</f>
        <v>0</v>
      </c>
    </row>
    <row r="141" spans="2:47" ht="15" customHeight="1" outlineLevel="1" x14ac:dyDescent="0.25">
      <c r="B141" s="52" t="s">
        <v>288</v>
      </c>
      <c r="C141" s="64" t="s">
        <v>26</v>
      </c>
      <c r="D141" s="91">
        <v>0</v>
      </c>
      <c r="E141" s="91">
        <v>0</v>
      </c>
      <c r="F141" s="203">
        <f t="shared" ref="F141" si="762">IFERROR((E141-D141)/D141,0)</f>
        <v>0</v>
      </c>
      <c r="G141" s="91">
        <v>0</v>
      </c>
      <c r="H141" s="203">
        <f t="shared" ref="H141" si="763">IFERROR((G141-E141)/E141,0)</f>
        <v>0</v>
      </c>
      <c r="I141" s="91">
        <v>0</v>
      </c>
      <c r="J141" s="203">
        <f t="shared" ref="J141" si="764">IFERROR((I141-G141)/G141,0)</f>
        <v>0</v>
      </c>
      <c r="K141" s="91">
        <v>0</v>
      </c>
      <c r="L141" s="157"/>
      <c r="M141" s="71"/>
      <c r="N141" s="203">
        <f t="shared" ref="N141" si="765">IFERROR((M141-I141)/I141,0)</f>
        <v>0</v>
      </c>
      <c r="O141" s="198">
        <f t="shared" ref="O141" si="766">D141+E141+G141+I141+M141</f>
        <v>0</v>
      </c>
      <c r="P141" s="199">
        <f t="shared" ref="P141" si="767">IFERROR((M141/D141)^(1/4)-1,0)</f>
        <v>0</v>
      </c>
      <c r="R141" s="206">
        <f>'Μέση ετήσια κατανάλωση'!F107*'Ενεργοί πελάτες'!X137</f>
        <v>3285</v>
      </c>
      <c r="S141" s="6"/>
      <c r="T141" s="172">
        <f t="shared" ref="T141" si="768">R141+S141</f>
        <v>3285</v>
      </c>
      <c r="U141" s="228">
        <f t="shared" ref="U141" si="769">IFERROR((T141-M141)/M141,0)</f>
        <v>0</v>
      </c>
      <c r="V141" s="206">
        <f>'Μέση ετήσια κατανάλωση'!G107*'Ενεργοί πελάτες'!AA137</f>
        <v>40000</v>
      </c>
      <c r="W141" s="167">
        <f t="shared" si="725"/>
        <v>3285</v>
      </c>
      <c r="X141" s="167">
        <f t="shared" ref="X141" si="770">V141+W141</f>
        <v>43285</v>
      </c>
      <c r="Y141" s="6"/>
      <c r="Z141" s="167">
        <f t="shared" ref="Z141" si="771">X141+Y141</f>
        <v>43285</v>
      </c>
      <c r="AA141" s="203">
        <f t="shared" ref="AA141" si="772">IFERROR((Z141-T141)/T141,0)</f>
        <v>12.176560121765601</v>
      </c>
      <c r="AB141" s="206">
        <f>'Μέση ετήσια κατανάλωση'!G107*'Ενεργοί πελάτες'!AD137</f>
        <v>40000</v>
      </c>
      <c r="AC141" s="167">
        <f t="shared" si="728"/>
        <v>43285</v>
      </c>
      <c r="AD141" s="167">
        <f t="shared" ref="AD141" si="773">AB141+AC141</f>
        <v>83285</v>
      </c>
      <c r="AE141" s="6"/>
      <c r="AF141" s="167">
        <f t="shared" ref="AF141" si="774">AD141+AE141</f>
        <v>83285</v>
      </c>
      <c r="AG141" s="203">
        <f t="shared" ref="AG141" si="775">IFERROR((AF141-Z141)/Z141,0)</f>
        <v>0.92410765854222021</v>
      </c>
      <c r="AH141" s="206">
        <f>'Μέση ετήσια κατανάλωση'!G107*'Ενεργοί πελάτες'!AG137</f>
        <v>20000</v>
      </c>
      <c r="AI141" s="167">
        <f t="shared" si="732"/>
        <v>83285</v>
      </c>
      <c r="AJ141" s="167">
        <f t="shared" ref="AJ141" si="776">AH141+AI141</f>
        <v>103285</v>
      </c>
      <c r="AK141" s="6"/>
      <c r="AL141" s="167">
        <f t="shared" ref="AL141" si="777">AJ141+AK141</f>
        <v>103285</v>
      </c>
      <c r="AM141" s="203">
        <f t="shared" ref="AM141" si="778">IFERROR((AL141-AF141)/AF141,0)</f>
        <v>0.24013928078285404</v>
      </c>
      <c r="AN141" s="206">
        <f>'Μέση ετήσια κατανάλωση'!G107*'Ενεργοί πελάτες'!AJ137</f>
        <v>0</v>
      </c>
      <c r="AO141" s="167">
        <f t="shared" si="736"/>
        <v>103285</v>
      </c>
      <c r="AP141" s="167">
        <f t="shared" ref="AP141" si="779">AN141+AO141</f>
        <v>103285</v>
      </c>
      <c r="AQ141" s="6"/>
      <c r="AR141" s="167">
        <f t="shared" ref="AR141" si="780">AP141+AQ141</f>
        <v>103285</v>
      </c>
      <c r="AS141" s="203">
        <f t="shared" ref="AS141" si="781">IFERROR((AR141-AL141)/AL141,0)</f>
        <v>0</v>
      </c>
      <c r="AT141" s="198">
        <f t="shared" ref="AT141" si="782">T141+Z141+AF141+AL141+AR141</f>
        <v>336425</v>
      </c>
      <c r="AU141" s="199">
        <f t="shared" ref="AU141" si="783">IFERROR((AR141/T141)^(1/4)-1,0)</f>
        <v>1.3679660416000434</v>
      </c>
    </row>
    <row r="142" spans="2:47" ht="15" customHeight="1" outlineLevel="1" x14ac:dyDescent="0.25">
      <c r="B142" s="52" t="s">
        <v>289</v>
      </c>
      <c r="C142" s="64" t="s">
        <v>26</v>
      </c>
      <c r="D142" s="91">
        <v>0</v>
      </c>
      <c r="E142" s="91">
        <v>0</v>
      </c>
      <c r="F142" s="203">
        <f t="shared" ref="F142" si="784">IFERROR((E142-D142)/D142,0)</f>
        <v>0</v>
      </c>
      <c r="G142" s="91">
        <v>0</v>
      </c>
      <c r="H142" s="203">
        <f t="shared" ref="H142" si="785">IFERROR((G142-E142)/E142,0)</f>
        <v>0</v>
      </c>
      <c r="I142" s="91">
        <v>0</v>
      </c>
      <c r="J142" s="203">
        <f t="shared" ref="J142" si="786">IFERROR((I142-G142)/G142,0)</f>
        <v>0</v>
      </c>
      <c r="K142" s="91">
        <v>0</v>
      </c>
      <c r="L142" s="157"/>
      <c r="M142" s="71"/>
      <c r="N142" s="203">
        <f t="shared" ref="N142" si="787">IFERROR((M142-I142)/I142,0)</f>
        <v>0</v>
      </c>
      <c r="O142" s="198">
        <f t="shared" ref="O142" si="788">D142+E142+G142+I142+M142</f>
        <v>0</v>
      </c>
      <c r="P142" s="199">
        <f t="shared" ref="P142" si="789">IFERROR((M142/D142)^(1/4)-1,0)</f>
        <v>0</v>
      </c>
      <c r="R142" s="206">
        <f>'Μέση ετήσια κατανάλωση'!F108*'Ενεργοί πελάτες'!X138</f>
        <v>3333</v>
      </c>
      <c r="S142" s="6"/>
      <c r="T142" s="172">
        <f t="shared" ref="T142" si="790">R142+S142</f>
        <v>3333</v>
      </c>
      <c r="U142" s="228">
        <f t="shared" ref="U142" si="791">IFERROR((T142-M142)/M142,0)</f>
        <v>0</v>
      </c>
      <c r="V142" s="206">
        <f>'Μέση ετήσια κατανάλωση'!G108*'Ενεργοί πελάτες'!AA138</f>
        <v>40000</v>
      </c>
      <c r="W142" s="167">
        <f t="shared" si="725"/>
        <v>3333</v>
      </c>
      <c r="X142" s="167">
        <f t="shared" ref="X142" si="792">V142+W142</f>
        <v>43333</v>
      </c>
      <c r="Y142" s="6"/>
      <c r="Z142" s="167">
        <f t="shared" ref="Z142" si="793">X142+Y142</f>
        <v>43333</v>
      </c>
      <c r="AA142" s="203">
        <f t="shared" ref="AA142" si="794">IFERROR((Z142-T142)/T142,0)</f>
        <v>12.001200120012001</v>
      </c>
      <c r="AB142" s="206">
        <f>'Μέση ετήσια κατανάλωση'!G108*'Ενεργοί πελάτες'!AD138</f>
        <v>40000</v>
      </c>
      <c r="AC142" s="167">
        <f t="shared" si="728"/>
        <v>43333</v>
      </c>
      <c r="AD142" s="167">
        <f t="shared" ref="AD142" si="795">AB142+AC142</f>
        <v>83333</v>
      </c>
      <c r="AE142" s="6"/>
      <c r="AF142" s="167">
        <f t="shared" ref="AF142" si="796">AD142+AE142</f>
        <v>83333</v>
      </c>
      <c r="AG142" s="203">
        <f t="shared" ref="AG142" si="797">IFERROR((AF142-Z142)/Z142,0)</f>
        <v>0.92308402372325937</v>
      </c>
      <c r="AH142" s="206">
        <f>'Μέση ετήσια κατανάλωση'!G108*'Ενεργοί πελάτες'!AG138</f>
        <v>20000</v>
      </c>
      <c r="AI142" s="167">
        <f t="shared" si="732"/>
        <v>83333</v>
      </c>
      <c r="AJ142" s="167">
        <f t="shared" ref="AJ142" si="798">AH142+AI142</f>
        <v>103333</v>
      </c>
      <c r="AK142" s="6"/>
      <c r="AL142" s="167">
        <f t="shared" ref="AL142" si="799">AJ142+AK142</f>
        <v>103333</v>
      </c>
      <c r="AM142" s="203">
        <f t="shared" ref="AM142" si="800">IFERROR((AL142-AF142)/AF142,0)</f>
        <v>0.24000096000384002</v>
      </c>
      <c r="AN142" s="206">
        <f>'Μέση ετήσια κατανάλωση'!G108*'Ενεργοί πελάτες'!AJ138</f>
        <v>20000</v>
      </c>
      <c r="AO142" s="167">
        <f t="shared" si="736"/>
        <v>103333</v>
      </c>
      <c r="AP142" s="167">
        <f t="shared" ref="AP142" si="801">AN142+AO142</f>
        <v>123333</v>
      </c>
      <c r="AQ142" s="6"/>
      <c r="AR142" s="167">
        <f t="shared" ref="AR142" si="802">AP142+AQ142</f>
        <v>123333</v>
      </c>
      <c r="AS142" s="203">
        <f t="shared" ref="AS142" si="803">IFERROR((AR142-AL142)/AL142,0)</f>
        <v>0.19354901144842404</v>
      </c>
      <c r="AT142" s="198">
        <f t="shared" ref="AT142" si="804">T142+Z142+AF142+AL142+AR142</f>
        <v>356665</v>
      </c>
      <c r="AU142" s="199">
        <f t="shared" ref="AU142" si="805">IFERROR((AR142/T142)^(1/4)-1,0)</f>
        <v>1.4663857100768012</v>
      </c>
    </row>
    <row r="143" spans="2:47" ht="15" customHeight="1" outlineLevel="1" x14ac:dyDescent="0.25">
      <c r="B143" s="52" t="s">
        <v>290</v>
      </c>
      <c r="C143" s="64" t="s">
        <v>26</v>
      </c>
      <c r="D143" s="91">
        <v>0</v>
      </c>
      <c r="E143" s="91">
        <v>0</v>
      </c>
      <c r="F143" s="203">
        <f t="shared" ref="F143:F150" si="806">IFERROR((E143-D143)/D143,0)</f>
        <v>0</v>
      </c>
      <c r="G143" s="91">
        <v>0</v>
      </c>
      <c r="H143" s="203">
        <f t="shared" ref="H143:H150" si="807">IFERROR((G143-E143)/E143,0)</f>
        <v>0</v>
      </c>
      <c r="I143" s="91">
        <v>0</v>
      </c>
      <c r="J143" s="203">
        <f t="shared" ref="J143:J150" si="808">IFERROR((I143-G143)/G143,0)</f>
        <v>0</v>
      </c>
      <c r="K143" s="91">
        <v>0</v>
      </c>
      <c r="L143" s="157"/>
      <c r="M143" s="71"/>
      <c r="N143" s="203">
        <f t="shared" ref="N143:N150" si="809">IFERROR((M143-I143)/I143,0)</f>
        <v>0</v>
      </c>
      <c r="O143" s="198">
        <f t="shared" ref="O143:O144" si="810">D143+E143+G143+I143+M143</f>
        <v>0</v>
      </c>
      <c r="P143" s="199">
        <f t="shared" ref="P143:P150" si="811">IFERROR((M143/D143)^(1/4)-1,0)</f>
        <v>0</v>
      </c>
      <c r="R143" s="206">
        <f>'Μέση ετήσια κατανάλωση'!F109*'Ενεργοί πελάτες'!X139</f>
        <v>0</v>
      </c>
      <c r="S143" s="6"/>
      <c r="T143" s="172">
        <f t="shared" ref="T143:T148" si="812">R143+S143</f>
        <v>0</v>
      </c>
      <c r="U143" s="228">
        <f t="shared" ref="U143:U150" si="813">IFERROR((T143-M143)/M143,0)</f>
        <v>0</v>
      </c>
      <c r="V143" s="206">
        <f>'Μέση ετήσια κατανάλωση'!G109*'Ενεργοί πελάτες'!AA139</f>
        <v>60000</v>
      </c>
      <c r="W143" s="167">
        <f t="shared" si="725"/>
        <v>0</v>
      </c>
      <c r="X143" s="167">
        <f t="shared" ref="X143:X148" si="814">V143+W143</f>
        <v>60000</v>
      </c>
      <c r="Y143" s="6"/>
      <c r="Z143" s="167">
        <f t="shared" ref="Z143:Z148" si="815">X143+Y143</f>
        <v>60000</v>
      </c>
      <c r="AA143" s="203">
        <f t="shared" ref="AA143:AA150" si="816">IFERROR((Z143-T143)/T143,0)</f>
        <v>0</v>
      </c>
      <c r="AB143" s="206">
        <f>'Μέση ετήσια κατανάλωση'!G109*'Ενεργοί πελάτες'!AD139</f>
        <v>60000</v>
      </c>
      <c r="AC143" s="167">
        <f t="shared" si="728"/>
        <v>60000</v>
      </c>
      <c r="AD143" s="167">
        <f t="shared" ref="AD143:AD148" si="817">AB143+AC143</f>
        <v>120000</v>
      </c>
      <c r="AE143" s="6"/>
      <c r="AF143" s="167">
        <f t="shared" ref="AF143:AF148" si="818">AD143+AE143</f>
        <v>120000</v>
      </c>
      <c r="AG143" s="203">
        <f t="shared" ref="AG143:AG150" si="819">IFERROR((AF143-Z143)/Z143,0)</f>
        <v>1</v>
      </c>
      <c r="AH143" s="206">
        <f>'Μέση ετήσια κατανάλωση'!G109*'Ενεργοί πελάτες'!AG139</f>
        <v>60000</v>
      </c>
      <c r="AI143" s="167">
        <f t="shared" si="732"/>
        <v>120000</v>
      </c>
      <c r="AJ143" s="167">
        <f t="shared" ref="AJ143:AJ148" si="820">AH143+AI143</f>
        <v>180000</v>
      </c>
      <c r="AK143" s="6"/>
      <c r="AL143" s="167">
        <f t="shared" ref="AL143:AL148" si="821">AJ143+AK143</f>
        <v>180000</v>
      </c>
      <c r="AM143" s="203">
        <f t="shared" ref="AM143:AM150" si="822">IFERROR((AL143-AF143)/AF143,0)</f>
        <v>0.5</v>
      </c>
      <c r="AN143" s="206">
        <f>'Μέση ετήσια κατανάλωση'!G109*'Ενεργοί πελάτες'!AJ139</f>
        <v>20000</v>
      </c>
      <c r="AO143" s="167">
        <f t="shared" si="736"/>
        <v>180000</v>
      </c>
      <c r="AP143" s="167">
        <f t="shared" ref="AP143:AP148" si="823">AN143+AO143</f>
        <v>200000</v>
      </c>
      <c r="AQ143" s="6"/>
      <c r="AR143" s="167">
        <f t="shared" ref="AR143:AR148" si="824">AP143+AQ143</f>
        <v>200000</v>
      </c>
      <c r="AS143" s="203">
        <f t="shared" ref="AS143:AS150" si="825">IFERROR((AR143-AL143)/AL143,0)</f>
        <v>0.1111111111111111</v>
      </c>
      <c r="AT143" s="198">
        <f t="shared" ref="AT143:AT148" si="826">T143+Z143+AF143+AL143+AR143</f>
        <v>560000</v>
      </c>
      <c r="AU143" s="199">
        <f t="shared" ref="AU143:AU150" si="827">IFERROR((AR143/T143)^(1/4)-1,0)</f>
        <v>0</v>
      </c>
    </row>
    <row r="144" spans="2:47" ht="15" customHeight="1" outlineLevel="1" x14ac:dyDescent="0.25">
      <c r="B144" s="52" t="s">
        <v>291</v>
      </c>
      <c r="C144" s="64" t="s">
        <v>26</v>
      </c>
      <c r="D144" s="91">
        <v>0</v>
      </c>
      <c r="E144" s="91">
        <v>0</v>
      </c>
      <c r="F144" s="203">
        <f t="shared" si="806"/>
        <v>0</v>
      </c>
      <c r="G144" s="91">
        <v>0</v>
      </c>
      <c r="H144" s="203">
        <f t="shared" si="807"/>
        <v>0</v>
      </c>
      <c r="I144" s="91">
        <v>0</v>
      </c>
      <c r="J144" s="203">
        <f t="shared" si="808"/>
        <v>0</v>
      </c>
      <c r="K144" s="91">
        <v>0</v>
      </c>
      <c r="L144" s="157"/>
      <c r="M144" s="71"/>
      <c r="N144" s="203">
        <f t="shared" si="809"/>
        <v>0</v>
      </c>
      <c r="O144" s="198">
        <f t="shared" si="810"/>
        <v>0</v>
      </c>
      <c r="P144" s="199">
        <f t="shared" si="811"/>
        <v>0</v>
      </c>
      <c r="R144" s="206">
        <f>'Μέση ετήσια κατανάλωση'!F110*'Ενεργοί πελάτες'!X140</f>
        <v>0</v>
      </c>
      <c r="S144" s="6"/>
      <c r="T144" s="167">
        <f t="shared" si="812"/>
        <v>0</v>
      </c>
      <c r="U144" s="228">
        <f t="shared" si="813"/>
        <v>0</v>
      </c>
      <c r="V144" s="206">
        <f>'Μέση ετήσια κατανάλωση'!G110*'Ενεργοί πελάτες'!AA140</f>
        <v>0</v>
      </c>
      <c r="W144" s="167">
        <f t="shared" ref="W144:W149" si="828">T144</f>
        <v>0</v>
      </c>
      <c r="X144" s="167">
        <f t="shared" si="814"/>
        <v>0</v>
      </c>
      <c r="Y144" s="6"/>
      <c r="Z144" s="167">
        <f t="shared" si="815"/>
        <v>0</v>
      </c>
      <c r="AA144" s="203">
        <f t="shared" si="816"/>
        <v>0</v>
      </c>
      <c r="AB144" s="206">
        <f>'Μέση ετήσια κατανάλωση'!G110*'Ενεργοί πελάτες'!AD140</f>
        <v>0</v>
      </c>
      <c r="AC144" s="167">
        <f t="shared" ref="AC144:AC149" si="829">X144</f>
        <v>0</v>
      </c>
      <c r="AD144" s="167">
        <f t="shared" si="817"/>
        <v>0</v>
      </c>
      <c r="AE144" s="6"/>
      <c r="AF144" s="167">
        <f t="shared" si="818"/>
        <v>0</v>
      </c>
      <c r="AG144" s="203">
        <f t="shared" si="819"/>
        <v>0</v>
      </c>
      <c r="AH144" s="206">
        <f>'Μέση ετήσια κατανάλωση'!G110*'Ενεργοί πελάτες'!AG140</f>
        <v>0</v>
      </c>
      <c r="AI144" s="167">
        <f t="shared" ref="AI144:AI149" si="830">AD144</f>
        <v>0</v>
      </c>
      <c r="AJ144" s="167">
        <f t="shared" si="820"/>
        <v>0</v>
      </c>
      <c r="AK144" s="6"/>
      <c r="AL144" s="167">
        <f t="shared" si="821"/>
        <v>0</v>
      </c>
      <c r="AM144" s="203">
        <f t="shared" si="822"/>
        <v>0</v>
      </c>
      <c r="AN144" s="206">
        <f>'Μέση ετήσια κατανάλωση'!G110*'Ενεργοί πελάτες'!AJ140</f>
        <v>0</v>
      </c>
      <c r="AO144" s="167">
        <f t="shared" ref="AO144:AO149" si="831">AJ144</f>
        <v>0</v>
      </c>
      <c r="AP144" s="167">
        <f t="shared" si="823"/>
        <v>0</v>
      </c>
      <c r="AQ144" s="6"/>
      <c r="AR144" s="167">
        <f t="shared" si="824"/>
        <v>0</v>
      </c>
      <c r="AS144" s="203">
        <f t="shared" si="825"/>
        <v>0</v>
      </c>
      <c r="AT144" s="198">
        <f t="shared" si="826"/>
        <v>0</v>
      </c>
      <c r="AU144" s="199">
        <f t="shared" si="827"/>
        <v>0</v>
      </c>
    </row>
    <row r="145" spans="2:47" ht="15" customHeight="1" outlineLevel="1" x14ac:dyDescent="0.25">
      <c r="B145" s="52" t="s">
        <v>307</v>
      </c>
      <c r="C145" s="64"/>
      <c r="D145" s="91"/>
      <c r="E145" s="91"/>
      <c r="F145" s="203">
        <f t="shared" si="806"/>
        <v>0</v>
      </c>
      <c r="G145" s="91"/>
      <c r="H145" s="203">
        <f t="shared" si="807"/>
        <v>0</v>
      </c>
      <c r="I145" s="91"/>
      <c r="J145" s="203">
        <f t="shared" si="808"/>
        <v>0</v>
      </c>
      <c r="K145" s="91"/>
      <c r="L145" s="157"/>
      <c r="M145" s="71"/>
      <c r="N145" s="203">
        <f t="shared" si="809"/>
        <v>0</v>
      </c>
      <c r="O145" s="198"/>
      <c r="P145" s="199">
        <f t="shared" si="811"/>
        <v>0</v>
      </c>
      <c r="R145" s="206">
        <f>'Μέση ετήσια κατανάλωση'!F111*'Ενεργοί πελάτες'!X141</f>
        <v>0</v>
      </c>
      <c r="S145" s="6"/>
      <c r="T145" s="172">
        <f t="shared" si="812"/>
        <v>0</v>
      </c>
      <c r="U145" s="228">
        <f t="shared" si="813"/>
        <v>0</v>
      </c>
      <c r="V145" s="206">
        <f>'Μέση ετήσια κατανάλωση'!G111*'Ενεργοί πελάτες'!AA141</f>
        <v>0</v>
      </c>
      <c r="W145" s="167">
        <f t="shared" si="828"/>
        <v>0</v>
      </c>
      <c r="X145" s="167">
        <f t="shared" si="814"/>
        <v>0</v>
      </c>
      <c r="Y145" s="6"/>
      <c r="Z145" s="167">
        <f t="shared" si="815"/>
        <v>0</v>
      </c>
      <c r="AA145" s="203">
        <f t="shared" si="816"/>
        <v>0</v>
      </c>
      <c r="AB145" s="206">
        <f>'Μέση ετήσια κατανάλωση'!G111*'Ενεργοί πελάτες'!AD141</f>
        <v>0</v>
      </c>
      <c r="AC145" s="167">
        <f t="shared" si="829"/>
        <v>0</v>
      </c>
      <c r="AD145" s="167">
        <f t="shared" si="817"/>
        <v>0</v>
      </c>
      <c r="AE145" s="6"/>
      <c r="AF145" s="167">
        <f t="shared" si="818"/>
        <v>0</v>
      </c>
      <c r="AG145" s="203">
        <f t="shared" si="819"/>
        <v>0</v>
      </c>
      <c r="AH145" s="206">
        <f>'Μέση ετήσια κατανάλωση'!G111*'Ενεργοί πελάτες'!AG141</f>
        <v>0</v>
      </c>
      <c r="AI145" s="167">
        <f t="shared" si="830"/>
        <v>0</v>
      </c>
      <c r="AJ145" s="167">
        <f t="shared" si="820"/>
        <v>0</v>
      </c>
      <c r="AK145" s="6"/>
      <c r="AL145" s="167">
        <f t="shared" si="821"/>
        <v>0</v>
      </c>
      <c r="AM145" s="203">
        <f t="shared" si="822"/>
        <v>0</v>
      </c>
      <c r="AN145" s="206">
        <f>'Μέση ετήσια κατανάλωση'!G111*'Ενεργοί πελάτες'!AJ141</f>
        <v>0</v>
      </c>
      <c r="AO145" s="167">
        <f t="shared" si="831"/>
        <v>0</v>
      </c>
      <c r="AP145" s="167">
        <f t="shared" si="823"/>
        <v>0</v>
      </c>
      <c r="AQ145" s="6"/>
      <c r="AR145" s="167">
        <f t="shared" si="824"/>
        <v>0</v>
      </c>
      <c r="AS145" s="203">
        <f t="shared" si="825"/>
        <v>0</v>
      </c>
      <c r="AT145" s="198">
        <f t="shared" si="826"/>
        <v>0</v>
      </c>
      <c r="AU145" s="199">
        <f t="shared" si="827"/>
        <v>0</v>
      </c>
    </row>
    <row r="146" spans="2:47" ht="15" customHeight="1" outlineLevel="1" x14ac:dyDescent="0.25">
      <c r="B146" s="52" t="s">
        <v>304</v>
      </c>
      <c r="C146" s="64"/>
      <c r="D146" s="91"/>
      <c r="E146" s="91"/>
      <c r="F146" s="203">
        <f t="shared" si="806"/>
        <v>0</v>
      </c>
      <c r="G146" s="91"/>
      <c r="H146" s="203">
        <f t="shared" si="807"/>
        <v>0</v>
      </c>
      <c r="I146" s="91"/>
      <c r="J146" s="203">
        <f t="shared" si="808"/>
        <v>0</v>
      </c>
      <c r="K146" s="91"/>
      <c r="L146" s="157"/>
      <c r="M146" s="71"/>
      <c r="N146" s="203">
        <f t="shared" si="809"/>
        <v>0</v>
      </c>
      <c r="O146" s="198"/>
      <c r="P146" s="199">
        <f t="shared" si="811"/>
        <v>0</v>
      </c>
      <c r="R146" s="206">
        <f>'Μέση ετήσια κατανάλωση'!F112*'Ενεργοί πελάτες'!X142</f>
        <v>0</v>
      </c>
      <c r="S146" s="6"/>
      <c r="T146" s="172">
        <f t="shared" si="812"/>
        <v>0</v>
      </c>
      <c r="U146" s="228">
        <f t="shared" si="813"/>
        <v>0</v>
      </c>
      <c r="V146" s="206">
        <f>'Μέση ετήσια κατανάλωση'!G112*'Ενεργοί πελάτες'!AA142</f>
        <v>0</v>
      </c>
      <c r="W146" s="167">
        <f t="shared" si="828"/>
        <v>0</v>
      </c>
      <c r="X146" s="167">
        <f t="shared" si="814"/>
        <v>0</v>
      </c>
      <c r="Y146" s="6"/>
      <c r="Z146" s="167">
        <f t="shared" si="815"/>
        <v>0</v>
      </c>
      <c r="AA146" s="203">
        <f t="shared" si="816"/>
        <v>0</v>
      </c>
      <c r="AB146" s="206">
        <f>'Μέση ετήσια κατανάλωση'!G112*'Ενεργοί πελάτες'!AD142</f>
        <v>0</v>
      </c>
      <c r="AC146" s="167">
        <f t="shared" si="829"/>
        <v>0</v>
      </c>
      <c r="AD146" s="167">
        <f t="shared" si="817"/>
        <v>0</v>
      </c>
      <c r="AE146" s="6"/>
      <c r="AF146" s="167">
        <f t="shared" si="818"/>
        <v>0</v>
      </c>
      <c r="AG146" s="203">
        <f t="shared" si="819"/>
        <v>0</v>
      </c>
      <c r="AH146" s="206">
        <f>'Μέση ετήσια κατανάλωση'!G112*'Ενεργοί πελάτες'!AG142</f>
        <v>0</v>
      </c>
      <c r="AI146" s="167">
        <f t="shared" si="830"/>
        <v>0</v>
      </c>
      <c r="AJ146" s="167">
        <f t="shared" si="820"/>
        <v>0</v>
      </c>
      <c r="AK146" s="6"/>
      <c r="AL146" s="167">
        <f t="shared" si="821"/>
        <v>0</v>
      </c>
      <c r="AM146" s="203">
        <f t="shared" si="822"/>
        <v>0</v>
      </c>
      <c r="AN146" s="206">
        <f>'Μέση ετήσια κατανάλωση'!G112*'Ενεργοί πελάτες'!AJ142</f>
        <v>0</v>
      </c>
      <c r="AO146" s="167">
        <f t="shared" si="831"/>
        <v>0</v>
      </c>
      <c r="AP146" s="167">
        <f t="shared" si="823"/>
        <v>0</v>
      </c>
      <c r="AQ146" s="6"/>
      <c r="AR146" s="167">
        <f t="shared" si="824"/>
        <v>0</v>
      </c>
      <c r="AS146" s="203">
        <f t="shared" si="825"/>
        <v>0</v>
      </c>
      <c r="AT146" s="198">
        <f t="shared" si="826"/>
        <v>0</v>
      </c>
      <c r="AU146" s="199">
        <f t="shared" si="827"/>
        <v>0</v>
      </c>
    </row>
    <row r="147" spans="2:47" ht="15" customHeight="1" outlineLevel="1" x14ac:dyDescent="0.25">
      <c r="B147" s="52" t="s">
        <v>305</v>
      </c>
      <c r="C147" s="64"/>
      <c r="D147" s="91"/>
      <c r="E147" s="91"/>
      <c r="F147" s="203">
        <f t="shared" si="806"/>
        <v>0</v>
      </c>
      <c r="G147" s="91"/>
      <c r="H147" s="203">
        <f t="shared" si="807"/>
        <v>0</v>
      </c>
      <c r="I147" s="91"/>
      <c r="J147" s="203">
        <f t="shared" si="808"/>
        <v>0</v>
      </c>
      <c r="K147" s="91"/>
      <c r="L147" s="157"/>
      <c r="M147" s="71"/>
      <c r="N147" s="203">
        <f t="shared" si="809"/>
        <v>0</v>
      </c>
      <c r="O147" s="198"/>
      <c r="P147" s="199">
        <f t="shared" si="811"/>
        <v>0</v>
      </c>
      <c r="R147" s="206">
        <f>'Μέση ετήσια κατανάλωση'!F113*'Ενεργοί πελάτες'!X143</f>
        <v>0</v>
      </c>
      <c r="S147" s="6"/>
      <c r="T147" s="172">
        <f t="shared" si="812"/>
        <v>0</v>
      </c>
      <c r="U147" s="228">
        <f t="shared" si="813"/>
        <v>0</v>
      </c>
      <c r="V147" s="206">
        <f>'Μέση ετήσια κατανάλωση'!G113*'Ενεργοί πελάτες'!AA143</f>
        <v>0</v>
      </c>
      <c r="W147" s="167">
        <f t="shared" si="828"/>
        <v>0</v>
      </c>
      <c r="X147" s="167">
        <f t="shared" si="814"/>
        <v>0</v>
      </c>
      <c r="Y147" s="6"/>
      <c r="Z147" s="167">
        <f t="shared" si="815"/>
        <v>0</v>
      </c>
      <c r="AA147" s="203">
        <f t="shared" si="816"/>
        <v>0</v>
      </c>
      <c r="AB147" s="206">
        <f>'Μέση ετήσια κατανάλωση'!G113*'Ενεργοί πελάτες'!AD143</f>
        <v>0</v>
      </c>
      <c r="AC147" s="167">
        <f t="shared" si="829"/>
        <v>0</v>
      </c>
      <c r="AD147" s="167">
        <f t="shared" si="817"/>
        <v>0</v>
      </c>
      <c r="AE147" s="6"/>
      <c r="AF147" s="167">
        <f t="shared" si="818"/>
        <v>0</v>
      </c>
      <c r="AG147" s="203">
        <f t="shared" si="819"/>
        <v>0</v>
      </c>
      <c r="AH147" s="206">
        <f>'Μέση ετήσια κατανάλωση'!G113*'Ενεργοί πελάτες'!AG143</f>
        <v>0</v>
      </c>
      <c r="AI147" s="167">
        <f t="shared" si="830"/>
        <v>0</v>
      </c>
      <c r="AJ147" s="167">
        <f t="shared" si="820"/>
        <v>0</v>
      </c>
      <c r="AK147" s="6"/>
      <c r="AL147" s="167">
        <f t="shared" si="821"/>
        <v>0</v>
      </c>
      <c r="AM147" s="203">
        <f t="shared" si="822"/>
        <v>0</v>
      </c>
      <c r="AN147" s="206">
        <f>'Μέση ετήσια κατανάλωση'!G113*'Ενεργοί πελάτες'!AJ143</f>
        <v>0</v>
      </c>
      <c r="AO147" s="167">
        <f t="shared" si="831"/>
        <v>0</v>
      </c>
      <c r="AP147" s="167">
        <f t="shared" si="823"/>
        <v>0</v>
      </c>
      <c r="AQ147" s="6"/>
      <c r="AR147" s="167">
        <f t="shared" si="824"/>
        <v>0</v>
      </c>
      <c r="AS147" s="203">
        <f t="shared" si="825"/>
        <v>0</v>
      </c>
      <c r="AT147" s="198">
        <f t="shared" si="826"/>
        <v>0</v>
      </c>
      <c r="AU147" s="199">
        <f t="shared" si="827"/>
        <v>0</v>
      </c>
    </row>
    <row r="148" spans="2:47" ht="15" customHeight="1" outlineLevel="1" x14ac:dyDescent="0.25">
      <c r="B148" s="52" t="s">
        <v>306</v>
      </c>
      <c r="C148" s="64"/>
      <c r="D148" s="91"/>
      <c r="E148" s="91"/>
      <c r="F148" s="203">
        <f t="shared" si="806"/>
        <v>0</v>
      </c>
      <c r="G148" s="91"/>
      <c r="H148" s="203">
        <f t="shared" si="807"/>
        <v>0</v>
      </c>
      <c r="I148" s="91"/>
      <c r="J148" s="203">
        <f t="shared" si="808"/>
        <v>0</v>
      </c>
      <c r="K148" s="91"/>
      <c r="L148" s="157"/>
      <c r="M148" s="71"/>
      <c r="N148" s="203">
        <f t="shared" si="809"/>
        <v>0</v>
      </c>
      <c r="O148" s="198"/>
      <c r="P148" s="199">
        <f t="shared" si="811"/>
        <v>0</v>
      </c>
      <c r="R148" s="206">
        <f>'Μέση ετήσια κατανάλωση'!F114*'Ενεργοί πελάτες'!X144</f>
        <v>0</v>
      </c>
      <c r="S148" s="6"/>
      <c r="T148" s="172">
        <f t="shared" si="812"/>
        <v>0</v>
      </c>
      <c r="U148" s="228">
        <f t="shared" si="813"/>
        <v>0</v>
      </c>
      <c r="V148" s="206">
        <f>'Μέση ετήσια κατανάλωση'!G114*'Ενεργοί πελάτες'!AA144</f>
        <v>0</v>
      </c>
      <c r="W148" s="167">
        <f t="shared" si="828"/>
        <v>0</v>
      </c>
      <c r="X148" s="167">
        <f t="shared" si="814"/>
        <v>0</v>
      </c>
      <c r="Y148" s="6"/>
      <c r="Z148" s="167">
        <f t="shared" si="815"/>
        <v>0</v>
      </c>
      <c r="AA148" s="203">
        <f t="shared" si="816"/>
        <v>0</v>
      </c>
      <c r="AB148" s="206">
        <f>'Μέση ετήσια κατανάλωση'!G114*'Ενεργοί πελάτες'!AD144</f>
        <v>0</v>
      </c>
      <c r="AC148" s="167">
        <f t="shared" si="829"/>
        <v>0</v>
      </c>
      <c r="AD148" s="167">
        <f t="shared" si="817"/>
        <v>0</v>
      </c>
      <c r="AE148" s="6"/>
      <c r="AF148" s="167">
        <f t="shared" si="818"/>
        <v>0</v>
      </c>
      <c r="AG148" s="203">
        <f t="shared" si="819"/>
        <v>0</v>
      </c>
      <c r="AH148" s="206">
        <f>'Μέση ετήσια κατανάλωση'!G114*'Ενεργοί πελάτες'!AG144</f>
        <v>0</v>
      </c>
      <c r="AI148" s="167">
        <f t="shared" si="830"/>
        <v>0</v>
      </c>
      <c r="AJ148" s="167">
        <f t="shared" si="820"/>
        <v>0</v>
      </c>
      <c r="AK148" s="6"/>
      <c r="AL148" s="167">
        <f t="shared" si="821"/>
        <v>0</v>
      </c>
      <c r="AM148" s="203">
        <f t="shared" si="822"/>
        <v>0</v>
      </c>
      <c r="AN148" s="206">
        <f>'Μέση ετήσια κατανάλωση'!G114*'Ενεργοί πελάτες'!AJ144</f>
        <v>0</v>
      </c>
      <c r="AO148" s="167">
        <f t="shared" si="831"/>
        <v>0</v>
      </c>
      <c r="AP148" s="167">
        <f t="shared" si="823"/>
        <v>0</v>
      </c>
      <c r="AQ148" s="6"/>
      <c r="AR148" s="167">
        <f t="shared" si="824"/>
        <v>0</v>
      </c>
      <c r="AS148" s="203">
        <f t="shared" si="825"/>
        <v>0</v>
      </c>
      <c r="AT148" s="198">
        <f t="shared" si="826"/>
        <v>0</v>
      </c>
      <c r="AU148" s="199">
        <f t="shared" si="827"/>
        <v>0</v>
      </c>
    </row>
    <row r="149" spans="2:47" ht="15" customHeight="1" outlineLevel="1" x14ac:dyDescent="0.25">
      <c r="B149" s="52" t="s">
        <v>308</v>
      </c>
      <c r="C149" s="64"/>
      <c r="D149" s="91"/>
      <c r="E149" s="91"/>
      <c r="F149" s="203">
        <f t="shared" si="806"/>
        <v>0</v>
      </c>
      <c r="G149" s="91"/>
      <c r="H149" s="203">
        <f t="shared" si="807"/>
        <v>0</v>
      </c>
      <c r="I149" s="91"/>
      <c r="J149" s="203">
        <f t="shared" si="808"/>
        <v>0</v>
      </c>
      <c r="K149" s="91"/>
      <c r="L149" s="157"/>
      <c r="M149" s="71"/>
      <c r="N149" s="203">
        <f t="shared" si="809"/>
        <v>0</v>
      </c>
      <c r="O149" s="198"/>
      <c r="P149" s="199">
        <f t="shared" si="811"/>
        <v>0</v>
      </c>
      <c r="R149" s="206">
        <f>'Μέση ετήσια κατανάλωση'!F115*'Ενεργοί πελάτες'!X145</f>
        <v>0</v>
      </c>
      <c r="S149" s="6"/>
      <c r="T149" s="172">
        <f t="shared" ref="T149" si="832">R149+S149</f>
        <v>0</v>
      </c>
      <c r="U149" s="228">
        <f t="shared" ref="U149" si="833">IFERROR((T149-M149)/M149,0)</f>
        <v>0</v>
      </c>
      <c r="V149" s="206">
        <f>'Μέση ετήσια κατανάλωση'!G115*'Ενεργοί πελάτες'!AA145</f>
        <v>0</v>
      </c>
      <c r="W149" s="167">
        <f t="shared" si="828"/>
        <v>0</v>
      </c>
      <c r="X149" s="167">
        <f t="shared" ref="X149" si="834">V149+W149</f>
        <v>0</v>
      </c>
      <c r="Y149" s="6"/>
      <c r="Z149" s="167">
        <f t="shared" ref="Z149" si="835">X149+Y149</f>
        <v>0</v>
      </c>
      <c r="AA149" s="203">
        <f t="shared" ref="AA149" si="836">IFERROR((Z149-T149)/T149,0)</f>
        <v>0</v>
      </c>
      <c r="AB149" s="206">
        <f>'Μέση ετήσια κατανάλωση'!G115*'Ενεργοί πελάτες'!AD145</f>
        <v>0</v>
      </c>
      <c r="AC149" s="167">
        <f t="shared" si="829"/>
        <v>0</v>
      </c>
      <c r="AD149" s="167">
        <f t="shared" ref="AD149" si="837">AB149+AC149</f>
        <v>0</v>
      </c>
      <c r="AE149" s="6"/>
      <c r="AF149" s="167">
        <f t="shared" ref="AF149" si="838">AD149+AE149</f>
        <v>0</v>
      </c>
      <c r="AG149" s="203">
        <f t="shared" ref="AG149" si="839">IFERROR((AF149-Z149)/Z149,0)</f>
        <v>0</v>
      </c>
      <c r="AH149" s="206">
        <f>'Μέση ετήσια κατανάλωση'!G115*'Ενεργοί πελάτες'!AG145</f>
        <v>0</v>
      </c>
      <c r="AI149" s="167">
        <f t="shared" si="830"/>
        <v>0</v>
      </c>
      <c r="AJ149" s="167">
        <f t="shared" ref="AJ149" si="840">AH149+AI149</f>
        <v>0</v>
      </c>
      <c r="AK149" s="6"/>
      <c r="AL149" s="167">
        <f t="shared" ref="AL149" si="841">AJ149+AK149</f>
        <v>0</v>
      </c>
      <c r="AM149" s="203">
        <f t="shared" ref="AM149" si="842">IFERROR((AL149-AF149)/AF149,0)</f>
        <v>0</v>
      </c>
      <c r="AN149" s="206">
        <f>'Μέση ετήσια κατανάλωση'!G115*'Ενεργοί πελάτες'!AJ145</f>
        <v>0</v>
      </c>
      <c r="AO149" s="167">
        <f t="shared" si="831"/>
        <v>0</v>
      </c>
      <c r="AP149" s="167">
        <f t="shared" ref="AP149" si="843">AN149+AO149</f>
        <v>0</v>
      </c>
      <c r="AQ149" s="6"/>
      <c r="AR149" s="167">
        <f t="shared" ref="AR149" si="844">AP149+AQ149</f>
        <v>0</v>
      </c>
      <c r="AS149" s="203">
        <f t="shared" ref="AS149" si="845">IFERROR((AR149-AL149)/AL149,0)</f>
        <v>0</v>
      </c>
      <c r="AT149" s="198">
        <f t="shared" ref="AT149" si="846">T149+Z149+AF149+AL149+AR149</f>
        <v>0</v>
      </c>
      <c r="AU149" s="199">
        <f t="shared" ref="AU149" si="847">IFERROR((AR149/T149)^(1/4)-1,0)</f>
        <v>0</v>
      </c>
    </row>
    <row r="150" spans="2:47" ht="15" customHeight="1" outlineLevel="1" x14ac:dyDescent="0.25">
      <c r="B150" s="52"/>
      <c r="C150" s="64"/>
      <c r="D150" s="91"/>
      <c r="E150" s="91"/>
      <c r="F150" s="203">
        <f t="shared" si="806"/>
        <v>0</v>
      </c>
      <c r="G150" s="91"/>
      <c r="H150" s="203">
        <f t="shared" si="807"/>
        <v>0</v>
      </c>
      <c r="I150" s="91"/>
      <c r="J150" s="203">
        <f t="shared" si="808"/>
        <v>0</v>
      </c>
      <c r="K150" s="91"/>
      <c r="L150" s="157"/>
      <c r="M150" s="71"/>
      <c r="N150" s="203">
        <f t="shared" si="809"/>
        <v>0</v>
      </c>
      <c r="O150" s="198"/>
      <c r="P150" s="199">
        <f t="shared" si="811"/>
        <v>0</v>
      </c>
      <c r="R150" s="206"/>
      <c r="S150" s="6"/>
      <c r="T150" s="172"/>
      <c r="U150" s="228">
        <f t="shared" si="813"/>
        <v>0</v>
      </c>
      <c r="V150" s="206"/>
      <c r="W150" s="167"/>
      <c r="X150" s="167"/>
      <c r="Y150" s="6"/>
      <c r="Z150" s="167"/>
      <c r="AA150" s="203">
        <f t="shared" si="816"/>
        <v>0</v>
      </c>
      <c r="AB150" s="206"/>
      <c r="AC150" s="167"/>
      <c r="AD150" s="167"/>
      <c r="AE150" s="6"/>
      <c r="AF150" s="167"/>
      <c r="AG150" s="203">
        <f t="shared" si="819"/>
        <v>0</v>
      </c>
      <c r="AH150" s="206"/>
      <c r="AI150" s="167"/>
      <c r="AJ150" s="167"/>
      <c r="AK150" s="6"/>
      <c r="AL150" s="167"/>
      <c r="AM150" s="203">
        <f t="shared" si="822"/>
        <v>0</v>
      </c>
      <c r="AN150" s="206"/>
      <c r="AO150" s="167"/>
      <c r="AP150" s="167"/>
      <c r="AQ150" s="6"/>
      <c r="AR150" s="167"/>
      <c r="AS150" s="203">
        <f t="shared" si="825"/>
        <v>0</v>
      </c>
      <c r="AT150" s="198"/>
      <c r="AU150" s="199">
        <f t="shared" si="827"/>
        <v>0</v>
      </c>
    </row>
    <row r="151" spans="2:47" ht="15" customHeight="1" outlineLevel="1" x14ac:dyDescent="0.25">
      <c r="B151" s="349" t="s">
        <v>90</v>
      </c>
      <c r="C151" s="350"/>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c r="AO151" s="350"/>
      <c r="AP151" s="350"/>
      <c r="AQ151" s="350"/>
      <c r="AR151" s="350"/>
      <c r="AS151" s="350"/>
      <c r="AT151" s="350"/>
      <c r="AU151" s="397"/>
    </row>
    <row r="152" spans="2:47" ht="15" customHeight="1" outlineLevel="1" x14ac:dyDescent="0.25">
      <c r="B152" s="52" t="s">
        <v>82</v>
      </c>
      <c r="C152" s="49" t="s">
        <v>26</v>
      </c>
      <c r="D152" s="231">
        <f>SUM(D136:D150)</f>
        <v>0</v>
      </c>
      <c r="E152" s="207">
        <f>SUM(E136:E150)</f>
        <v>0</v>
      </c>
      <c r="F152" s="202">
        <f>IFERROR((E152-D152)/D152,0)</f>
        <v>0</v>
      </c>
      <c r="G152" s="207">
        <f>SUM(G136:G150)</f>
        <v>0</v>
      </c>
      <c r="H152" s="202">
        <f t="shared" si="721"/>
        <v>0</v>
      </c>
      <c r="I152" s="207">
        <f>SUM(I136:I150)</f>
        <v>0</v>
      </c>
      <c r="J152" s="202">
        <f t="shared" si="722"/>
        <v>0</v>
      </c>
      <c r="K152" s="207">
        <f>SUM(K136:K150)</f>
        <v>0</v>
      </c>
      <c r="L152" s="159"/>
      <c r="M152" s="207">
        <f>SUM(M136:M150)</f>
        <v>0</v>
      </c>
      <c r="N152" s="202">
        <f t="shared" si="723"/>
        <v>0</v>
      </c>
      <c r="O152" s="218">
        <f>SUM(O136:O150)</f>
        <v>0</v>
      </c>
      <c r="P152" s="199">
        <f>IFERROR((M152/D152)^(1/4)-1,0)</f>
        <v>0</v>
      </c>
      <c r="R152" s="207">
        <f>SUM(R136:R150)</f>
        <v>6618</v>
      </c>
      <c r="S152" s="187">
        <f>SUM(S136:S150)</f>
        <v>0</v>
      </c>
      <c r="T152" s="187">
        <f>SUM(T136:T150)</f>
        <v>6618</v>
      </c>
      <c r="U152" s="202">
        <f>IFERROR((T152-M152)/M152,0)</f>
        <v>0</v>
      </c>
      <c r="V152" s="207">
        <f>SUM(V136:V150)</f>
        <v>260000</v>
      </c>
      <c r="W152" s="172">
        <f>SUM(W136:W150)</f>
        <v>6618</v>
      </c>
      <c r="X152" s="172">
        <f>SUM(X136:X150)</f>
        <v>266618</v>
      </c>
      <c r="Y152" s="172">
        <f>SUM(Y136:Y150)</f>
        <v>0</v>
      </c>
      <c r="Z152" s="172">
        <f>SUM(Z136:Z150)</f>
        <v>266618</v>
      </c>
      <c r="AA152" s="202">
        <f>IFERROR((Z152-T152)/T152,0)</f>
        <v>39.286793593230584</v>
      </c>
      <c r="AB152" s="207">
        <f>SUM(AB136:AB150)</f>
        <v>220000</v>
      </c>
      <c r="AC152" s="172">
        <f>SUM(AC136:AC150)</f>
        <v>266618</v>
      </c>
      <c r="AD152" s="172">
        <f>SUM(AD136:AD150)</f>
        <v>486618</v>
      </c>
      <c r="AE152" s="172">
        <f>SUM(AE136:AE150)</f>
        <v>0</v>
      </c>
      <c r="AF152" s="172">
        <f>SUM(AF136:AF150)</f>
        <v>486618</v>
      </c>
      <c r="AG152" s="202">
        <f t="shared" si="731"/>
        <v>0.82515058998267188</v>
      </c>
      <c r="AH152" s="207">
        <f>SUM(AH136:AH150)</f>
        <v>180000</v>
      </c>
      <c r="AI152" s="172">
        <f>SUM(AI136:AI150)</f>
        <v>486618</v>
      </c>
      <c r="AJ152" s="172">
        <f>SUM(AJ136:AJ150)</f>
        <v>666618</v>
      </c>
      <c r="AK152" s="172">
        <f>SUM(AK136:AK150)</f>
        <v>0</v>
      </c>
      <c r="AL152" s="172">
        <f>SUM(AL136:AL150)</f>
        <v>666618</v>
      </c>
      <c r="AM152" s="202">
        <f t="shared" si="735"/>
        <v>0.36990000369900006</v>
      </c>
      <c r="AN152" s="207">
        <f>SUM(AN136:AN150)</f>
        <v>80000</v>
      </c>
      <c r="AO152" s="172">
        <f>SUM(AO136:AO150)</f>
        <v>666618</v>
      </c>
      <c r="AP152" s="172">
        <f>SUM(AP136:AP150)</f>
        <v>746618</v>
      </c>
      <c r="AQ152" s="172">
        <f>SUM(AQ136:AQ150)</f>
        <v>0</v>
      </c>
      <c r="AR152" s="172">
        <f>SUM(AR136:AR150)</f>
        <v>746618</v>
      </c>
      <c r="AS152" s="202">
        <f t="shared" si="739"/>
        <v>0.12000876063952669</v>
      </c>
      <c r="AT152" s="218">
        <f>SUM(AT136:AT150)</f>
        <v>2173090</v>
      </c>
      <c r="AU152" s="199">
        <f>IFERROR((AR152/T152)^(1/4)-1,0)</f>
        <v>2.2590642571666586</v>
      </c>
    </row>
    <row r="153" spans="2:47" ht="15" customHeight="1" x14ac:dyDescent="0.25"/>
    <row r="154" spans="2:47" ht="15.75" x14ac:dyDescent="0.25">
      <c r="B154" s="352" t="s">
        <v>12</v>
      </c>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row>
    <row r="155" spans="2:47" ht="5.45" customHeight="1" outlineLevel="1" x14ac:dyDescent="0.2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row>
    <row r="156" spans="2:47" outlineLevel="1" x14ac:dyDescent="0.25">
      <c r="B156" s="393"/>
      <c r="C156" s="396" t="s">
        <v>20</v>
      </c>
      <c r="D156" s="372" t="s">
        <v>262</v>
      </c>
      <c r="E156" s="373"/>
      <c r="F156" s="373"/>
      <c r="G156" s="373"/>
      <c r="H156" s="373"/>
      <c r="I156" s="373"/>
      <c r="J156" s="373"/>
      <c r="K156" s="373"/>
      <c r="L156" s="374"/>
      <c r="M156" s="372" t="s">
        <v>260</v>
      </c>
      <c r="N156" s="374"/>
      <c r="O156" s="388" t="str">
        <f xml:space="preserve"> D157&amp;" - "&amp;M157</f>
        <v>2018 - 2022</v>
      </c>
      <c r="P156" s="398"/>
      <c r="R156" s="372" t="s">
        <v>261</v>
      </c>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4"/>
    </row>
    <row r="157" spans="2:47" outlineLevel="1" x14ac:dyDescent="0.25">
      <c r="B157" s="394"/>
      <c r="C157" s="396"/>
      <c r="D157" s="88">
        <f>$C$3-5</f>
        <v>2018</v>
      </c>
      <c r="E157" s="372">
        <f>$C$3-4</f>
        <v>2019</v>
      </c>
      <c r="F157" s="374"/>
      <c r="G157" s="372">
        <f>$C$3-3</f>
        <v>2020</v>
      </c>
      <c r="H157" s="374"/>
      <c r="I157" s="372">
        <f>$C$3-2</f>
        <v>2021</v>
      </c>
      <c r="J157" s="374"/>
      <c r="K157" s="372" t="str">
        <f>$C$3-1&amp;""&amp;" ("&amp;"Σεπτ"&amp;")"</f>
        <v>2022 (Σεπτ)</v>
      </c>
      <c r="L157" s="374"/>
      <c r="M157" s="372">
        <f>$C$3-1</f>
        <v>2022</v>
      </c>
      <c r="N157" s="374"/>
      <c r="O157" s="390"/>
      <c r="P157" s="399"/>
      <c r="R157" s="416">
        <f>$C$3</f>
        <v>2023</v>
      </c>
      <c r="S157" s="403"/>
      <c r="T157" s="403"/>
      <c r="U157" s="418"/>
      <c r="V157" s="416">
        <f>$C$3+1</f>
        <v>2024</v>
      </c>
      <c r="W157" s="403"/>
      <c r="X157" s="403"/>
      <c r="Y157" s="403"/>
      <c r="Z157" s="403"/>
      <c r="AA157" s="418"/>
      <c r="AB157" s="372">
        <f>$C$3+2</f>
        <v>2025</v>
      </c>
      <c r="AC157" s="373"/>
      <c r="AD157" s="373"/>
      <c r="AE157" s="373"/>
      <c r="AF157" s="373"/>
      <c r="AG157" s="374"/>
      <c r="AH157" s="372">
        <f>$C$3+3</f>
        <v>2026</v>
      </c>
      <c r="AI157" s="373"/>
      <c r="AJ157" s="373"/>
      <c r="AK157" s="373"/>
      <c r="AL157" s="373"/>
      <c r="AM157" s="374"/>
      <c r="AN157" s="372">
        <f>$C$3+4</f>
        <v>2027</v>
      </c>
      <c r="AO157" s="373"/>
      <c r="AP157" s="373"/>
      <c r="AQ157" s="373"/>
      <c r="AR157" s="373"/>
      <c r="AS157" s="374"/>
      <c r="AT157" s="376" t="str">
        <f>R157&amp;" - "&amp;AN157</f>
        <v>2023 - 2027</v>
      </c>
      <c r="AU157" s="392"/>
    </row>
    <row r="158" spans="2:47" ht="15" customHeight="1" outlineLevel="1" x14ac:dyDescent="0.25">
      <c r="B158" s="394"/>
      <c r="C158" s="396"/>
      <c r="D158" s="419" t="s">
        <v>142</v>
      </c>
      <c r="E158" s="421" t="s">
        <v>142</v>
      </c>
      <c r="F158" s="423" t="s">
        <v>81</v>
      </c>
      <c r="G158" s="421" t="s">
        <v>142</v>
      </c>
      <c r="H158" s="423" t="s">
        <v>81</v>
      </c>
      <c r="I158" s="421" t="s">
        <v>142</v>
      </c>
      <c r="J158" s="427" t="s">
        <v>81</v>
      </c>
      <c r="K158" s="421" t="s">
        <v>142</v>
      </c>
      <c r="L158" s="427" t="s">
        <v>81</v>
      </c>
      <c r="M158" s="421" t="s">
        <v>142</v>
      </c>
      <c r="N158" s="427" t="s">
        <v>81</v>
      </c>
      <c r="O158" s="421" t="s">
        <v>17</v>
      </c>
      <c r="P158" s="425" t="s">
        <v>83</v>
      </c>
      <c r="R158" s="421" t="str">
        <f>"Διανεμόμενες ποσότητες σε πελάτες που συνδέθηκαν το "&amp;R157</f>
        <v>Διανεμόμενες ποσότητες σε πελάτες που συνδέθηκαν το 2023</v>
      </c>
      <c r="S158" s="417" t="s">
        <v>146</v>
      </c>
      <c r="T158" s="417" t="s">
        <v>143</v>
      </c>
      <c r="U158" s="415" t="s">
        <v>81</v>
      </c>
      <c r="V158" s="416" t="s">
        <v>144</v>
      </c>
      <c r="W158" s="403"/>
      <c r="X158" s="403"/>
      <c r="Y158" s="417" t="s">
        <v>146</v>
      </c>
      <c r="Z158" s="417" t="s">
        <v>143</v>
      </c>
      <c r="AA158" s="418" t="s">
        <v>81</v>
      </c>
      <c r="AB158" s="416" t="s">
        <v>144</v>
      </c>
      <c r="AC158" s="403"/>
      <c r="AD158" s="403"/>
      <c r="AE158" s="417" t="s">
        <v>146</v>
      </c>
      <c r="AF158" s="417" t="s">
        <v>143</v>
      </c>
      <c r="AG158" s="418" t="s">
        <v>81</v>
      </c>
      <c r="AH158" s="416" t="s">
        <v>144</v>
      </c>
      <c r="AI158" s="403"/>
      <c r="AJ158" s="403"/>
      <c r="AK158" s="417" t="s">
        <v>146</v>
      </c>
      <c r="AL158" s="417" t="s">
        <v>143</v>
      </c>
      <c r="AM158" s="418" t="s">
        <v>81</v>
      </c>
      <c r="AN158" s="416" t="s">
        <v>144</v>
      </c>
      <c r="AO158" s="403"/>
      <c r="AP158" s="403"/>
      <c r="AQ158" s="417" t="s">
        <v>146</v>
      </c>
      <c r="AR158" s="417" t="s">
        <v>143</v>
      </c>
      <c r="AS158" s="418" t="s">
        <v>81</v>
      </c>
      <c r="AT158" s="430" t="s">
        <v>17</v>
      </c>
      <c r="AU158" s="428" t="s">
        <v>83</v>
      </c>
    </row>
    <row r="159" spans="2:47" ht="60" outlineLevel="1" x14ac:dyDescent="0.25">
      <c r="B159" s="395"/>
      <c r="C159" s="396"/>
      <c r="D159" s="420"/>
      <c r="E159" s="422"/>
      <c r="F159" s="424"/>
      <c r="G159" s="422"/>
      <c r="H159" s="424"/>
      <c r="I159" s="422"/>
      <c r="J159" s="380"/>
      <c r="K159" s="422"/>
      <c r="L159" s="380"/>
      <c r="M159" s="422"/>
      <c r="N159" s="380"/>
      <c r="O159" s="422"/>
      <c r="P159" s="426"/>
      <c r="R159" s="422"/>
      <c r="S159" s="417"/>
      <c r="T159" s="417"/>
      <c r="U159" s="415"/>
      <c r="V159" s="135" t="str">
        <f>"Διανεμόμενες ποσότητες σε πελάτες που συνδέθηκαν το "&amp;V157</f>
        <v>Διανεμόμενες ποσότητες σε πελάτες που συνδέθηκαν το 2024</v>
      </c>
      <c r="W159" s="117" t="str">
        <f>"Διανεμόμενες ποσότητες σε πελάτες που συνδέθηκαν το "&amp;R157</f>
        <v>Διανεμόμενες ποσότητες σε πελάτες που συνδέθηκαν το 2023</v>
      </c>
      <c r="X159" s="60" t="s">
        <v>145</v>
      </c>
      <c r="Y159" s="417"/>
      <c r="Z159" s="417"/>
      <c r="AA159" s="418"/>
      <c r="AB159" s="135" t="str">
        <f>"Διανεμόμενες ποσότητες σε πελάτες που συνδέθηκαν το "&amp;AB157</f>
        <v>Διανεμόμενες ποσότητες σε πελάτες που συνδέθηκαν το 2025</v>
      </c>
      <c r="AC159" s="117" t="str">
        <f>"Διανεμόμενες ποσότητες σε πελάτες που συνδέθηκαν το "&amp;$R$12&amp;" - "&amp;V157</f>
        <v>Διανεμόμενες ποσότητες σε πελάτες που συνδέθηκαν το 2023 - 2024</v>
      </c>
      <c r="AD159" s="60" t="s">
        <v>145</v>
      </c>
      <c r="AE159" s="417"/>
      <c r="AF159" s="417"/>
      <c r="AG159" s="418"/>
      <c r="AH159" s="135" t="str">
        <f>"Διανεμόμενες ποσότητες σε πελάτες που συνδέθηκαν το "&amp;AH157</f>
        <v>Διανεμόμενες ποσότητες σε πελάτες που συνδέθηκαν το 2026</v>
      </c>
      <c r="AI159" s="117" t="str">
        <f>"Διανεμόμενες ποσότητες σε πελάτες που συνδέθηκαν το "&amp;$R$12&amp;" - "&amp;AB157</f>
        <v>Διανεμόμενες ποσότητες σε πελάτες που συνδέθηκαν το 2023 - 2025</v>
      </c>
      <c r="AJ159" s="60" t="s">
        <v>145</v>
      </c>
      <c r="AK159" s="417"/>
      <c r="AL159" s="417"/>
      <c r="AM159" s="418"/>
      <c r="AN159" s="135" t="str">
        <f>"Διανεμόμενες ποσότητες σε πελάτες που συνδέθηκαν το "&amp;AN157</f>
        <v>Διανεμόμενες ποσότητες σε πελάτες που συνδέθηκαν το 2027</v>
      </c>
      <c r="AO159" s="117" t="str">
        <f>"Διανεμόμενες ποσότητες σε πελάτες που συνδέθηκαν το "&amp;$R$12&amp;" - "&amp;AH157</f>
        <v>Διανεμόμενες ποσότητες σε πελάτες που συνδέθηκαν το 2023 - 2026</v>
      </c>
      <c r="AP159" s="60" t="s">
        <v>145</v>
      </c>
      <c r="AQ159" s="417"/>
      <c r="AR159" s="417"/>
      <c r="AS159" s="418"/>
      <c r="AT159" s="431"/>
      <c r="AU159" s="429"/>
    </row>
    <row r="160" spans="2:47" outlineLevel="1" x14ac:dyDescent="0.25">
      <c r="B160" s="281" t="s">
        <v>283</v>
      </c>
      <c r="C160" s="64" t="s">
        <v>26</v>
      </c>
      <c r="D160" s="91">
        <v>0</v>
      </c>
      <c r="E160" s="91">
        <v>0</v>
      </c>
      <c r="F160" s="203">
        <f t="shared" ref="F160:F163" si="848">IFERROR((E160-D160)/D160,0)</f>
        <v>0</v>
      </c>
      <c r="G160" s="91">
        <v>0</v>
      </c>
      <c r="H160" s="203">
        <f>IFERROR((G160-E160)/E160,0)</f>
        <v>0</v>
      </c>
      <c r="I160" s="91">
        <v>0</v>
      </c>
      <c r="J160" s="203">
        <f>IFERROR((I160-G160)/G160,0)</f>
        <v>0</v>
      </c>
      <c r="K160" s="91">
        <v>0</v>
      </c>
      <c r="L160" s="157"/>
      <c r="M160" s="71"/>
      <c r="N160" s="203">
        <f>IFERROR((M160-I160)/I160,0)</f>
        <v>0</v>
      </c>
      <c r="O160" s="198">
        <f t="shared" ref="O160:O163" si="849">D160+E160+G160+I160+M160</f>
        <v>0</v>
      </c>
      <c r="P160" s="199">
        <f t="shared" ref="P160:P163" si="850">IFERROR((M160/D160)^(1/4)-1,0)</f>
        <v>0</v>
      </c>
      <c r="R160" s="206">
        <f>'Μέση ετήσια κατανάλωση'!F124*'Ενεργοί πελάτες'!X155</f>
        <v>0</v>
      </c>
      <c r="S160" s="6"/>
      <c r="T160" s="167">
        <f>R160+S160</f>
        <v>0</v>
      </c>
      <c r="U160" s="228">
        <f t="shared" ref="U160:U163" si="851">IFERROR((T160-M160)/M160,0)</f>
        <v>0</v>
      </c>
      <c r="V160" s="206">
        <f>'Μέση ετήσια κατανάλωση'!G124*'Ενεργοί πελάτες'!AA155</f>
        <v>0</v>
      </c>
      <c r="W160" s="167">
        <f>T160</f>
        <v>0</v>
      </c>
      <c r="X160" s="167">
        <f>V160+W160</f>
        <v>0</v>
      </c>
      <c r="Y160" s="6"/>
      <c r="Z160" s="167">
        <f>X160+Y160</f>
        <v>0</v>
      </c>
      <c r="AA160" s="203">
        <f t="shared" ref="AA160:AA163" si="852">IFERROR((Z160-T160)/T160,0)</f>
        <v>0</v>
      </c>
      <c r="AB160" s="206">
        <f>'Μέση ετήσια κατανάλωση'!G124*'Ενεργοί πελάτες'!AD155</f>
        <v>0</v>
      </c>
      <c r="AC160" s="167">
        <f>X160</f>
        <v>0</v>
      </c>
      <c r="AD160" s="167">
        <f>AB160+AC160</f>
        <v>0</v>
      </c>
      <c r="AE160" s="6"/>
      <c r="AF160" s="167">
        <f>AD160+AE160</f>
        <v>0</v>
      </c>
      <c r="AG160" s="203">
        <f>IFERROR((AF160-Z160)/Z160,0)</f>
        <v>0</v>
      </c>
      <c r="AH160" s="206">
        <f>'Μέση ετήσια κατανάλωση'!G124*'Ενεργοί πελάτες'!AG155</f>
        <v>0</v>
      </c>
      <c r="AI160" s="167">
        <f>AD160</f>
        <v>0</v>
      </c>
      <c r="AJ160" s="167">
        <f>AH160+AI160</f>
        <v>0</v>
      </c>
      <c r="AK160" s="6"/>
      <c r="AL160" s="167">
        <f>AJ160+AK160</f>
        <v>0</v>
      </c>
      <c r="AM160" s="203">
        <f>IFERROR((AL160-AF160)/AF160,0)</f>
        <v>0</v>
      </c>
      <c r="AN160" s="206">
        <f>'Μέση ετήσια κατανάλωση'!G124*'Ενεργοί πελάτες'!AJ155</f>
        <v>0</v>
      </c>
      <c r="AO160" s="167">
        <f>AJ160</f>
        <v>0</v>
      </c>
      <c r="AP160" s="167">
        <f>AN160+AO160</f>
        <v>0</v>
      </c>
      <c r="AQ160" s="6"/>
      <c r="AR160" s="167">
        <f>AP160+AQ160</f>
        <v>0</v>
      </c>
      <c r="AS160" s="203">
        <f>IFERROR((AR160-AL160)/AL160,0)</f>
        <v>0</v>
      </c>
      <c r="AT160" s="198">
        <f t="shared" ref="AT160:AT163" si="853">T160+Z160+AF160+AL160+AR160</f>
        <v>0</v>
      </c>
      <c r="AU160" s="199">
        <f t="shared" ref="AU160:AU163" si="854">IFERROR((AR160/T160)^(1/4)-1,0)</f>
        <v>0</v>
      </c>
    </row>
    <row r="161" spans="2:47" outlineLevel="1" x14ac:dyDescent="0.25">
      <c r="B161" s="52" t="s">
        <v>284</v>
      </c>
      <c r="C161" s="64" t="s">
        <v>26</v>
      </c>
      <c r="D161" s="91">
        <v>0</v>
      </c>
      <c r="E161" s="91">
        <v>0</v>
      </c>
      <c r="F161" s="203">
        <f t="shared" si="848"/>
        <v>0</v>
      </c>
      <c r="G161" s="91">
        <v>0</v>
      </c>
      <c r="H161" s="203">
        <f t="shared" ref="H161:H176" si="855">IFERROR((G161-E161)/E161,0)</f>
        <v>0</v>
      </c>
      <c r="I161" s="91">
        <v>0</v>
      </c>
      <c r="J161" s="203">
        <f t="shared" ref="J161:J176" si="856">IFERROR((I161-G161)/G161,0)</f>
        <v>0</v>
      </c>
      <c r="K161" s="91">
        <v>0</v>
      </c>
      <c r="L161" s="157"/>
      <c r="M161" s="71"/>
      <c r="N161" s="203">
        <f t="shared" ref="N161:N176" si="857">IFERROR((M161-I161)/I161,0)</f>
        <v>0</v>
      </c>
      <c r="O161" s="198">
        <f t="shared" si="849"/>
        <v>0</v>
      </c>
      <c r="P161" s="199">
        <f t="shared" si="850"/>
        <v>0</v>
      </c>
      <c r="R161" s="206">
        <f>'Μέση ετήσια κατανάλωση'!F125*'Ενεργοί πελάτες'!X156</f>
        <v>0</v>
      </c>
      <c r="S161" s="6"/>
      <c r="T161" s="167">
        <f t="shared" ref="T161:T163" si="858">R161+S161</f>
        <v>0</v>
      </c>
      <c r="U161" s="228">
        <f t="shared" si="851"/>
        <v>0</v>
      </c>
      <c r="V161" s="206">
        <f>'Μέση ετήσια κατανάλωση'!G125*'Ενεργοί πελάτες'!AA156</f>
        <v>0</v>
      </c>
      <c r="W161" s="167">
        <f t="shared" ref="W161:W168" si="859">T161</f>
        <v>0</v>
      </c>
      <c r="X161" s="167">
        <f t="shared" ref="X161:X163" si="860">V161+W161</f>
        <v>0</v>
      </c>
      <c r="Y161" s="6"/>
      <c r="Z161" s="167">
        <f t="shared" ref="Z161:Z168" si="861">X161+Y161</f>
        <v>0</v>
      </c>
      <c r="AA161" s="203">
        <f t="shared" si="852"/>
        <v>0</v>
      </c>
      <c r="AB161" s="206">
        <f>'Μέση ετήσια κατανάλωση'!G125*'Ενεργοί πελάτες'!AD156</f>
        <v>0</v>
      </c>
      <c r="AC161" s="167">
        <f t="shared" ref="AC161:AC168" si="862">X161</f>
        <v>0</v>
      </c>
      <c r="AD161" s="167">
        <f t="shared" ref="AD161:AD163" si="863">AB161+AC161</f>
        <v>0</v>
      </c>
      <c r="AE161" s="6"/>
      <c r="AF161" s="167">
        <f t="shared" ref="AF161:AF163" si="864">AD161+AE161</f>
        <v>0</v>
      </c>
      <c r="AG161" s="203">
        <f t="shared" ref="AG161:AG176" si="865">IFERROR((AF161-Z161)/Z161,0)</f>
        <v>0</v>
      </c>
      <c r="AH161" s="206">
        <f>'Μέση ετήσια κατανάλωση'!G125*'Ενεργοί πελάτες'!AG156</f>
        <v>0</v>
      </c>
      <c r="AI161" s="167">
        <f t="shared" ref="AI161:AI168" si="866">AD161</f>
        <v>0</v>
      </c>
      <c r="AJ161" s="167">
        <f t="shared" ref="AJ161:AJ163" si="867">AH161+AI161</f>
        <v>0</v>
      </c>
      <c r="AK161" s="6"/>
      <c r="AL161" s="167">
        <f t="shared" ref="AL161:AL163" si="868">AJ161+AK161</f>
        <v>0</v>
      </c>
      <c r="AM161" s="203">
        <f t="shared" ref="AM161:AM176" si="869">IFERROR((AL161-AF161)/AF161,0)</f>
        <v>0</v>
      </c>
      <c r="AN161" s="206">
        <f>'Μέση ετήσια κατανάλωση'!G125*'Ενεργοί πελάτες'!AJ156</f>
        <v>0</v>
      </c>
      <c r="AO161" s="167">
        <f t="shared" ref="AO161:AO168" si="870">AJ161</f>
        <v>0</v>
      </c>
      <c r="AP161" s="167">
        <f t="shared" ref="AP161:AP163" si="871">AN161+AO161</f>
        <v>0</v>
      </c>
      <c r="AQ161" s="6"/>
      <c r="AR161" s="167">
        <f t="shared" ref="AR161:AR163" si="872">AP161+AQ161</f>
        <v>0</v>
      </c>
      <c r="AS161" s="203">
        <f t="shared" ref="AS161:AS176" si="873">IFERROR((AR161-AL161)/AL161,0)</f>
        <v>0</v>
      </c>
      <c r="AT161" s="198">
        <f t="shared" si="853"/>
        <v>0</v>
      </c>
      <c r="AU161" s="199">
        <f t="shared" si="854"/>
        <v>0</v>
      </c>
    </row>
    <row r="162" spans="2:47" outlineLevel="1" x14ac:dyDescent="0.25">
      <c r="B162" s="52" t="s">
        <v>285</v>
      </c>
      <c r="C162" s="64" t="s">
        <v>26</v>
      </c>
      <c r="D162" s="91">
        <v>0</v>
      </c>
      <c r="E162" s="91">
        <v>0</v>
      </c>
      <c r="F162" s="203">
        <f t="shared" si="848"/>
        <v>0</v>
      </c>
      <c r="G162" s="91">
        <v>0</v>
      </c>
      <c r="H162" s="203">
        <f t="shared" si="855"/>
        <v>0</v>
      </c>
      <c r="I162" s="91">
        <v>0</v>
      </c>
      <c r="J162" s="203">
        <f t="shared" si="856"/>
        <v>0</v>
      </c>
      <c r="K162" s="91">
        <v>0</v>
      </c>
      <c r="L162" s="157"/>
      <c r="M162" s="71"/>
      <c r="N162" s="203">
        <f t="shared" si="857"/>
        <v>0</v>
      </c>
      <c r="O162" s="198">
        <f t="shared" si="849"/>
        <v>0</v>
      </c>
      <c r="P162" s="199">
        <f t="shared" si="850"/>
        <v>0</v>
      </c>
      <c r="R162" s="206">
        <f>'Μέση ετήσια κατανάλωση'!F126*'Ενεργοί πελάτες'!X157</f>
        <v>0</v>
      </c>
      <c r="S162" s="6"/>
      <c r="T162" s="167">
        <f t="shared" si="858"/>
        <v>0</v>
      </c>
      <c r="U162" s="228">
        <f t="shared" si="851"/>
        <v>0</v>
      </c>
      <c r="V162" s="206">
        <f>'Μέση ετήσια κατανάλωση'!G126*'Ενεργοί πελάτες'!AA157</f>
        <v>0</v>
      </c>
      <c r="W162" s="167">
        <f t="shared" si="859"/>
        <v>0</v>
      </c>
      <c r="X162" s="167">
        <f t="shared" si="860"/>
        <v>0</v>
      </c>
      <c r="Y162" s="6"/>
      <c r="Z162" s="167">
        <f t="shared" si="861"/>
        <v>0</v>
      </c>
      <c r="AA162" s="203">
        <f t="shared" si="852"/>
        <v>0</v>
      </c>
      <c r="AB162" s="206">
        <f>'Μέση ετήσια κατανάλωση'!G126*'Ενεργοί πελάτες'!AD157</f>
        <v>0</v>
      </c>
      <c r="AC162" s="167">
        <f t="shared" si="862"/>
        <v>0</v>
      </c>
      <c r="AD162" s="167">
        <f t="shared" si="863"/>
        <v>0</v>
      </c>
      <c r="AE162" s="6"/>
      <c r="AF162" s="167">
        <f t="shared" si="864"/>
        <v>0</v>
      </c>
      <c r="AG162" s="203">
        <f t="shared" si="865"/>
        <v>0</v>
      </c>
      <c r="AH162" s="206">
        <f>'Μέση ετήσια κατανάλωση'!G126*'Ενεργοί πελάτες'!AG157</f>
        <v>0</v>
      </c>
      <c r="AI162" s="167">
        <f t="shared" si="866"/>
        <v>0</v>
      </c>
      <c r="AJ162" s="167">
        <f t="shared" si="867"/>
        <v>0</v>
      </c>
      <c r="AK162" s="6"/>
      <c r="AL162" s="167">
        <f t="shared" si="868"/>
        <v>0</v>
      </c>
      <c r="AM162" s="203">
        <f t="shared" si="869"/>
        <v>0</v>
      </c>
      <c r="AN162" s="206">
        <f>'Μέση ετήσια κατανάλωση'!G126*'Ενεργοί πελάτες'!AJ157</f>
        <v>0</v>
      </c>
      <c r="AO162" s="167">
        <f t="shared" si="870"/>
        <v>0</v>
      </c>
      <c r="AP162" s="167">
        <f t="shared" si="871"/>
        <v>0</v>
      </c>
      <c r="AQ162" s="6"/>
      <c r="AR162" s="167">
        <f t="shared" si="872"/>
        <v>0</v>
      </c>
      <c r="AS162" s="203">
        <f t="shared" si="873"/>
        <v>0</v>
      </c>
      <c r="AT162" s="198">
        <f t="shared" si="853"/>
        <v>0</v>
      </c>
      <c r="AU162" s="199">
        <f t="shared" si="854"/>
        <v>0</v>
      </c>
    </row>
    <row r="163" spans="2:47" ht="15" customHeight="1" outlineLevel="1" x14ac:dyDescent="0.25">
      <c r="B163" s="52" t="s">
        <v>286</v>
      </c>
      <c r="C163" s="64" t="s">
        <v>26</v>
      </c>
      <c r="D163" s="91">
        <v>0</v>
      </c>
      <c r="E163" s="91">
        <v>0</v>
      </c>
      <c r="F163" s="203">
        <f t="shared" si="848"/>
        <v>0</v>
      </c>
      <c r="G163" s="91">
        <v>0</v>
      </c>
      <c r="H163" s="203">
        <f t="shared" si="855"/>
        <v>0</v>
      </c>
      <c r="I163" s="91">
        <v>0</v>
      </c>
      <c r="J163" s="203">
        <f t="shared" si="856"/>
        <v>0</v>
      </c>
      <c r="K163" s="91">
        <v>0</v>
      </c>
      <c r="L163" s="157"/>
      <c r="M163" s="71"/>
      <c r="N163" s="203">
        <f t="shared" si="857"/>
        <v>0</v>
      </c>
      <c r="O163" s="198">
        <f t="shared" si="849"/>
        <v>0</v>
      </c>
      <c r="P163" s="199">
        <f t="shared" si="850"/>
        <v>0</v>
      </c>
      <c r="R163" s="206">
        <f>'Μέση ετήσια κατανάλωση'!F127*'Ενεργοί πελάτες'!X158</f>
        <v>0</v>
      </c>
      <c r="S163" s="6"/>
      <c r="T163" s="172">
        <f t="shared" si="858"/>
        <v>0</v>
      </c>
      <c r="U163" s="228">
        <f t="shared" si="851"/>
        <v>0</v>
      </c>
      <c r="V163" s="206">
        <f>'Μέση ετήσια κατανάλωση'!G127*'Ενεργοί πελάτες'!AA158</f>
        <v>6296</v>
      </c>
      <c r="W163" s="167">
        <f t="shared" si="859"/>
        <v>0</v>
      </c>
      <c r="X163" s="167">
        <f t="shared" si="860"/>
        <v>6296</v>
      </c>
      <c r="Y163" s="6"/>
      <c r="Z163" s="167">
        <f t="shared" si="861"/>
        <v>6296</v>
      </c>
      <c r="AA163" s="203">
        <f t="shared" si="852"/>
        <v>0</v>
      </c>
      <c r="AB163" s="206">
        <f>'Μέση ετήσια κατανάλωση'!G127*'Ενεργοί πελάτες'!AD158</f>
        <v>0</v>
      </c>
      <c r="AC163" s="167">
        <f t="shared" si="862"/>
        <v>6296</v>
      </c>
      <c r="AD163" s="167">
        <f t="shared" si="863"/>
        <v>6296</v>
      </c>
      <c r="AE163" s="6"/>
      <c r="AF163" s="167">
        <f t="shared" si="864"/>
        <v>6296</v>
      </c>
      <c r="AG163" s="203">
        <f t="shared" si="865"/>
        <v>0</v>
      </c>
      <c r="AH163" s="206">
        <f>'Μέση ετήσια κατανάλωση'!G127*'Ενεργοί πελάτες'!AG158</f>
        <v>0</v>
      </c>
      <c r="AI163" s="167">
        <f t="shared" si="866"/>
        <v>6296</v>
      </c>
      <c r="AJ163" s="167">
        <f t="shared" si="867"/>
        <v>6296</v>
      </c>
      <c r="AK163" s="6"/>
      <c r="AL163" s="167">
        <f t="shared" si="868"/>
        <v>6296</v>
      </c>
      <c r="AM163" s="203">
        <f t="shared" si="869"/>
        <v>0</v>
      </c>
      <c r="AN163" s="206">
        <f>'Μέση ετήσια κατανάλωση'!G127*'Ενεργοί πελάτες'!AJ158</f>
        <v>6296</v>
      </c>
      <c r="AO163" s="167">
        <f t="shared" si="870"/>
        <v>6296</v>
      </c>
      <c r="AP163" s="167">
        <f t="shared" si="871"/>
        <v>12592</v>
      </c>
      <c r="AQ163" s="6"/>
      <c r="AR163" s="167">
        <f t="shared" si="872"/>
        <v>12592</v>
      </c>
      <c r="AS163" s="203">
        <f t="shared" si="873"/>
        <v>1</v>
      </c>
      <c r="AT163" s="198">
        <f t="shared" si="853"/>
        <v>31480</v>
      </c>
      <c r="AU163" s="199">
        <f t="shared" si="854"/>
        <v>0</v>
      </c>
    </row>
    <row r="164" spans="2:47" ht="15" customHeight="1" outlineLevel="1" x14ac:dyDescent="0.25">
      <c r="B164" s="52" t="s">
        <v>287</v>
      </c>
      <c r="C164" s="64" t="s">
        <v>26</v>
      </c>
      <c r="D164" s="91">
        <v>0</v>
      </c>
      <c r="E164" s="91">
        <v>0</v>
      </c>
      <c r="F164" s="203">
        <f t="shared" ref="F164" si="874">IFERROR((E164-D164)/D164,0)</f>
        <v>0</v>
      </c>
      <c r="G164" s="91">
        <v>0</v>
      </c>
      <c r="H164" s="203">
        <f t="shared" ref="H164" si="875">IFERROR((G164-E164)/E164,0)</f>
        <v>0</v>
      </c>
      <c r="I164" s="91">
        <v>0</v>
      </c>
      <c r="J164" s="203">
        <f t="shared" ref="J164" si="876">IFERROR((I164-G164)/G164,0)</f>
        <v>0</v>
      </c>
      <c r="K164" s="91">
        <v>0</v>
      </c>
      <c r="L164" s="157"/>
      <c r="M164" s="71"/>
      <c r="N164" s="203">
        <f t="shared" ref="N164" si="877">IFERROR((M164-I164)/I164,0)</f>
        <v>0</v>
      </c>
      <c r="O164" s="198">
        <f t="shared" ref="O164" si="878">D164+E164+G164+I164+M164</f>
        <v>0</v>
      </c>
      <c r="P164" s="199">
        <f t="shared" ref="P164" si="879">IFERROR((M164/D164)^(1/4)-1,0)</f>
        <v>0</v>
      </c>
      <c r="R164" s="206">
        <f>'Μέση ετήσια κατανάλωση'!F128*'Ενεργοί πελάτες'!X159</f>
        <v>0</v>
      </c>
      <c r="S164" s="6"/>
      <c r="T164" s="172">
        <f t="shared" ref="T164" si="880">R164+S164</f>
        <v>0</v>
      </c>
      <c r="U164" s="228">
        <f t="shared" ref="U164" si="881">IFERROR((T164-M164)/M164,0)</f>
        <v>0</v>
      </c>
      <c r="V164" s="206">
        <f>'Μέση ετήσια κατανάλωση'!G128*'Ενεργοί πελάτες'!AA159</f>
        <v>5000</v>
      </c>
      <c r="W164" s="167">
        <f t="shared" si="859"/>
        <v>0</v>
      </c>
      <c r="X164" s="167">
        <f t="shared" ref="X164" si="882">V164+W164</f>
        <v>5000</v>
      </c>
      <c r="Y164" s="6"/>
      <c r="Z164" s="167">
        <f t="shared" si="861"/>
        <v>5000</v>
      </c>
      <c r="AA164" s="203">
        <f t="shared" ref="AA164" si="883">IFERROR((Z164-T164)/T164,0)</f>
        <v>0</v>
      </c>
      <c r="AB164" s="206">
        <f>'Μέση ετήσια κατανάλωση'!G128*'Ενεργοί πελάτες'!AD159</f>
        <v>0</v>
      </c>
      <c r="AC164" s="167">
        <f t="shared" si="862"/>
        <v>5000</v>
      </c>
      <c r="AD164" s="167">
        <f t="shared" ref="AD164" si="884">AB164+AC164</f>
        <v>5000</v>
      </c>
      <c r="AE164" s="6"/>
      <c r="AF164" s="167">
        <f t="shared" ref="AF164" si="885">AD164+AE164</f>
        <v>5000</v>
      </c>
      <c r="AG164" s="203">
        <f t="shared" ref="AG164" si="886">IFERROR((AF164-Z164)/Z164,0)</f>
        <v>0</v>
      </c>
      <c r="AH164" s="206">
        <f>'Μέση ετήσια κατανάλωση'!G128*'Ενεργοί πελάτες'!AG159</f>
        <v>0</v>
      </c>
      <c r="AI164" s="167">
        <f t="shared" si="866"/>
        <v>5000</v>
      </c>
      <c r="AJ164" s="167">
        <f t="shared" ref="AJ164" si="887">AH164+AI164</f>
        <v>5000</v>
      </c>
      <c r="AK164" s="6"/>
      <c r="AL164" s="167">
        <f t="shared" ref="AL164" si="888">AJ164+AK164</f>
        <v>5000</v>
      </c>
      <c r="AM164" s="203">
        <f t="shared" ref="AM164" si="889">IFERROR((AL164-AF164)/AF164,0)</f>
        <v>0</v>
      </c>
      <c r="AN164" s="206">
        <f>'Μέση ετήσια κατανάλωση'!G128*'Ενεργοί πελάτες'!AJ159</f>
        <v>0</v>
      </c>
      <c r="AO164" s="167">
        <f t="shared" si="870"/>
        <v>5000</v>
      </c>
      <c r="AP164" s="167">
        <f t="shared" ref="AP164" si="890">AN164+AO164</f>
        <v>5000</v>
      </c>
      <c r="AQ164" s="6"/>
      <c r="AR164" s="167">
        <f t="shared" ref="AR164" si="891">AP164+AQ164</f>
        <v>5000</v>
      </c>
      <c r="AS164" s="203">
        <f t="shared" ref="AS164" si="892">IFERROR((AR164-AL164)/AL164,0)</f>
        <v>0</v>
      </c>
      <c r="AT164" s="198">
        <f t="shared" ref="AT164" si="893">T164+Z164+AF164+AL164+AR164</f>
        <v>20000</v>
      </c>
      <c r="AU164" s="199">
        <f t="shared" ref="AU164" si="894">IFERROR((AR164/T164)^(1/4)-1,0)</f>
        <v>0</v>
      </c>
    </row>
    <row r="165" spans="2:47" ht="15" customHeight="1" outlineLevel="1" x14ac:dyDescent="0.25">
      <c r="B165" s="52" t="s">
        <v>288</v>
      </c>
      <c r="C165" s="64" t="s">
        <v>26</v>
      </c>
      <c r="D165" s="91">
        <v>0</v>
      </c>
      <c r="E165" s="91">
        <v>0</v>
      </c>
      <c r="F165" s="203">
        <f t="shared" ref="F165" si="895">IFERROR((E165-D165)/D165,0)</f>
        <v>0</v>
      </c>
      <c r="G165" s="91">
        <v>0</v>
      </c>
      <c r="H165" s="203">
        <f t="shared" ref="H165" si="896">IFERROR((G165-E165)/E165,0)</f>
        <v>0</v>
      </c>
      <c r="I165" s="91">
        <v>0</v>
      </c>
      <c r="J165" s="203">
        <f t="shared" ref="J165" si="897">IFERROR((I165-G165)/G165,0)</f>
        <v>0</v>
      </c>
      <c r="K165" s="91">
        <v>0</v>
      </c>
      <c r="L165" s="157"/>
      <c r="M165" s="71"/>
      <c r="N165" s="203">
        <f t="shared" ref="N165" si="898">IFERROR((M165-I165)/I165,0)</f>
        <v>0</v>
      </c>
      <c r="O165" s="198">
        <f t="shared" ref="O165" si="899">D165+E165+G165+I165+M165</f>
        <v>0</v>
      </c>
      <c r="P165" s="199">
        <f t="shared" ref="P165" si="900">IFERROR((M165/D165)^(1/4)-1,0)</f>
        <v>0</v>
      </c>
      <c r="R165" s="206">
        <f>'Μέση ετήσια κατανάλωση'!F129*'Ενεργοί πελάτες'!X160</f>
        <v>187</v>
      </c>
      <c r="S165" s="6"/>
      <c r="T165" s="172">
        <f t="shared" ref="T165" si="901">R165+S165</f>
        <v>187</v>
      </c>
      <c r="U165" s="228">
        <f t="shared" ref="U165" si="902">IFERROR((T165-M165)/M165,0)</f>
        <v>0</v>
      </c>
      <c r="V165" s="206">
        <f>'Μέση ετήσια κατανάλωση'!G129*'Ενεργοί πελάτες'!AA160</f>
        <v>0</v>
      </c>
      <c r="W165" s="167">
        <f t="shared" si="859"/>
        <v>187</v>
      </c>
      <c r="X165" s="167">
        <f t="shared" ref="X165" si="903">V165+W165</f>
        <v>187</v>
      </c>
      <c r="Y165" s="6"/>
      <c r="Z165" s="167">
        <f t="shared" si="861"/>
        <v>187</v>
      </c>
      <c r="AA165" s="203">
        <f t="shared" ref="AA165" si="904">IFERROR((Z165-T165)/T165,0)</f>
        <v>0</v>
      </c>
      <c r="AB165" s="206">
        <f>'Μέση ετήσια κατανάλωση'!G129*'Ενεργοί πελάτες'!AD160</f>
        <v>0</v>
      </c>
      <c r="AC165" s="167">
        <f t="shared" si="862"/>
        <v>187</v>
      </c>
      <c r="AD165" s="167">
        <f t="shared" ref="AD165" si="905">AB165+AC165</f>
        <v>187</v>
      </c>
      <c r="AE165" s="6"/>
      <c r="AF165" s="167">
        <f t="shared" ref="AF165" si="906">AD165+AE165</f>
        <v>187</v>
      </c>
      <c r="AG165" s="203">
        <f t="shared" ref="AG165" si="907">IFERROR((AF165-Z165)/Z165,0)</f>
        <v>0</v>
      </c>
      <c r="AH165" s="206">
        <f>'Μέση ετήσια κατανάλωση'!G129*'Ενεργοί πελάτες'!AG160</f>
        <v>0</v>
      </c>
      <c r="AI165" s="167">
        <f t="shared" si="866"/>
        <v>187</v>
      </c>
      <c r="AJ165" s="167">
        <f t="shared" ref="AJ165" si="908">AH165+AI165</f>
        <v>187</v>
      </c>
      <c r="AK165" s="6"/>
      <c r="AL165" s="167">
        <f t="shared" ref="AL165" si="909">AJ165+AK165</f>
        <v>187</v>
      </c>
      <c r="AM165" s="203">
        <f t="shared" ref="AM165" si="910">IFERROR((AL165-AF165)/AF165,0)</f>
        <v>0</v>
      </c>
      <c r="AN165" s="206">
        <f>'Μέση ετήσια κατανάλωση'!G129*'Ενεργοί πελάτες'!AJ160</f>
        <v>0</v>
      </c>
      <c r="AO165" s="167">
        <f t="shared" si="870"/>
        <v>187</v>
      </c>
      <c r="AP165" s="167">
        <f t="shared" ref="AP165" si="911">AN165+AO165</f>
        <v>187</v>
      </c>
      <c r="AQ165" s="6"/>
      <c r="AR165" s="167">
        <f t="shared" ref="AR165" si="912">AP165+AQ165</f>
        <v>187</v>
      </c>
      <c r="AS165" s="203">
        <f t="shared" ref="AS165" si="913">IFERROR((AR165-AL165)/AL165,0)</f>
        <v>0</v>
      </c>
      <c r="AT165" s="198">
        <f t="shared" ref="AT165" si="914">T165+Z165+AF165+AL165+AR165</f>
        <v>935</v>
      </c>
      <c r="AU165" s="199">
        <f t="shared" ref="AU165" si="915">IFERROR((AR165/T165)^(1/4)-1,0)</f>
        <v>0</v>
      </c>
    </row>
    <row r="166" spans="2:47" ht="15" customHeight="1" outlineLevel="1" x14ac:dyDescent="0.25">
      <c r="B166" s="52" t="s">
        <v>289</v>
      </c>
      <c r="C166" s="64" t="s">
        <v>26</v>
      </c>
      <c r="D166" s="91">
        <v>0</v>
      </c>
      <c r="E166" s="91">
        <v>0</v>
      </c>
      <c r="F166" s="203">
        <f t="shared" ref="F166" si="916">IFERROR((E166-D166)/D166,0)</f>
        <v>0</v>
      </c>
      <c r="G166" s="91">
        <v>0</v>
      </c>
      <c r="H166" s="203">
        <f t="shared" ref="H166" si="917">IFERROR((G166-E166)/E166,0)</f>
        <v>0</v>
      </c>
      <c r="I166" s="91">
        <v>0</v>
      </c>
      <c r="J166" s="203">
        <f t="shared" ref="J166" si="918">IFERROR((I166-G166)/G166,0)</f>
        <v>0</v>
      </c>
      <c r="K166" s="91">
        <v>0</v>
      </c>
      <c r="L166" s="157"/>
      <c r="M166" s="71"/>
      <c r="N166" s="203">
        <f t="shared" ref="N166" si="919">IFERROR((M166-I166)/I166,0)</f>
        <v>0</v>
      </c>
      <c r="O166" s="198">
        <f t="shared" ref="O166" si="920">D166+E166+G166+I166+M166</f>
        <v>0</v>
      </c>
      <c r="P166" s="199">
        <f t="shared" ref="P166" si="921">IFERROR((M166/D166)^(1/4)-1,0)</f>
        <v>0</v>
      </c>
      <c r="R166" s="206">
        <f>'Μέση ετήσια κατανάλωση'!F130*'Ενεργοί πελάτες'!X161</f>
        <v>189</v>
      </c>
      <c r="S166" s="6"/>
      <c r="T166" s="172">
        <f t="shared" ref="T166" si="922">R166+S166</f>
        <v>189</v>
      </c>
      <c r="U166" s="228">
        <f t="shared" ref="U166" si="923">IFERROR((T166-M166)/M166,0)</f>
        <v>0</v>
      </c>
      <c r="V166" s="206">
        <f>'Μέση ετήσια κατανάλωση'!G130*'Ενεργοί πελάτες'!AA161</f>
        <v>5189</v>
      </c>
      <c r="W166" s="167">
        <f t="shared" si="859"/>
        <v>189</v>
      </c>
      <c r="X166" s="167">
        <f t="shared" ref="X166" si="924">V166+W166</f>
        <v>5378</v>
      </c>
      <c r="Y166" s="6"/>
      <c r="Z166" s="167">
        <f t="shared" si="861"/>
        <v>5378</v>
      </c>
      <c r="AA166" s="203">
        <f t="shared" ref="AA166" si="925">IFERROR((Z166-T166)/T166,0)</f>
        <v>27.455026455026456</v>
      </c>
      <c r="AB166" s="206">
        <f>'Μέση ετήσια κατανάλωση'!G130*'Ενεργοί πελάτες'!AD161</f>
        <v>0</v>
      </c>
      <c r="AC166" s="167">
        <f t="shared" si="862"/>
        <v>5378</v>
      </c>
      <c r="AD166" s="167">
        <f t="shared" ref="AD166" si="926">AB166+AC166</f>
        <v>5378</v>
      </c>
      <c r="AE166" s="6"/>
      <c r="AF166" s="167">
        <f t="shared" ref="AF166" si="927">AD166+AE166</f>
        <v>5378</v>
      </c>
      <c r="AG166" s="203">
        <f t="shared" ref="AG166" si="928">IFERROR((AF166-Z166)/Z166,0)</f>
        <v>0</v>
      </c>
      <c r="AH166" s="206">
        <f>'Μέση ετήσια κατανάλωση'!G130*'Ενεργοί πελάτες'!AG161</f>
        <v>0</v>
      </c>
      <c r="AI166" s="167">
        <f t="shared" si="866"/>
        <v>5378</v>
      </c>
      <c r="AJ166" s="167">
        <f t="shared" ref="AJ166" si="929">AH166+AI166</f>
        <v>5378</v>
      </c>
      <c r="AK166" s="6"/>
      <c r="AL166" s="167">
        <f t="shared" ref="AL166" si="930">AJ166+AK166</f>
        <v>5378</v>
      </c>
      <c r="AM166" s="203">
        <f t="shared" ref="AM166" si="931">IFERROR((AL166-AF166)/AF166,0)</f>
        <v>0</v>
      </c>
      <c r="AN166" s="206">
        <f>'Μέση ετήσια κατανάλωση'!G130*'Ενεργοί πελάτες'!AJ161</f>
        <v>0</v>
      </c>
      <c r="AO166" s="167">
        <f t="shared" si="870"/>
        <v>5378</v>
      </c>
      <c r="AP166" s="167">
        <f t="shared" ref="AP166" si="932">AN166+AO166</f>
        <v>5378</v>
      </c>
      <c r="AQ166" s="6"/>
      <c r="AR166" s="167">
        <f t="shared" ref="AR166" si="933">AP166+AQ166</f>
        <v>5378</v>
      </c>
      <c r="AS166" s="203">
        <f t="shared" ref="AS166" si="934">IFERROR((AR166-AL166)/AL166,0)</f>
        <v>0</v>
      </c>
      <c r="AT166" s="198">
        <f t="shared" ref="AT166" si="935">T166+Z166+AF166+AL166+AR166</f>
        <v>21701</v>
      </c>
      <c r="AU166" s="199">
        <f t="shared" ref="AU166" si="936">IFERROR((AR166/T166)^(1/4)-1,0)</f>
        <v>1.3096158348467277</v>
      </c>
    </row>
    <row r="167" spans="2:47" ht="15" customHeight="1" outlineLevel="1" x14ac:dyDescent="0.25">
      <c r="B167" s="52" t="s">
        <v>290</v>
      </c>
      <c r="C167" s="64" t="s">
        <v>26</v>
      </c>
      <c r="D167" s="91">
        <v>0</v>
      </c>
      <c r="E167" s="91">
        <v>0</v>
      </c>
      <c r="F167" s="203">
        <f t="shared" ref="F167" si="937">IFERROR((E167-D167)/D167,0)</f>
        <v>0</v>
      </c>
      <c r="G167" s="91">
        <v>0</v>
      </c>
      <c r="H167" s="203">
        <f t="shared" ref="H167" si="938">IFERROR((G167-E167)/E167,0)</f>
        <v>0</v>
      </c>
      <c r="I167" s="91">
        <v>0</v>
      </c>
      <c r="J167" s="203">
        <f t="shared" ref="J167" si="939">IFERROR((I167-G167)/G167,0)</f>
        <v>0</v>
      </c>
      <c r="K167" s="91">
        <v>0</v>
      </c>
      <c r="L167" s="157"/>
      <c r="M167" s="71"/>
      <c r="N167" s="203">
        <f t="shared" ref="N167" si="940">IFERROR((M167-I167)/I167,0)</f>
        <v>0</v>
      </c>
      <c r="O167" s="198">
        <f t="shared" ref="O167" si="941">D167+E167+G167+I167+M167</f>
        <v>0</v>
      </c>
      <c r="P167" s="199">
        <f t="shared" ref="P167" si="942">IFERROR((M167/D167)^(1/4)-1,0)</f>
        <v>0</v>
      </c>
      <c r="R167" s="206">
        <f>'Μέση ετήσια κατανάλωση'!F131*'Ενεργοί πελάτες'!X162</f>
        <v>187</v>
      </c>
      <c r="S167" s="6"/>
      <c r="T167" s="172">
        <f t="shared" ref="T167" si="943">R167+S167</f>
        <v>187</v>
      </c>
      <c r="U167" s="228">
        <f t="shared" ref="U167" si="944">IFERROR((T167-M167)/M167,0)</f>
        <v>0</v>
      </c>
      <c r="V167" s="206">
        <f>'Μέση ετήσια κατανάλωση'!G131*'Ενεργοί πελάτες'!AA162</f>
        <v>5115</v>
      </c>
      <c r="W167" s="167">
        <f t="shared" si="859"/>
        <v>187</v>
      </c>
      <c r="X167" s="167">
        <f t="shared" ref="X167" si="945">V167+W167</f>
        <v>5302</v>
      </c>
      <c r="Y167" s="6"/>
      <c r="Z167" s="167">
        <f t="shared" si="861"/>
        <v>5302</v>
      </c>
      <c r="AA167" s="203">
        <f t="shared" ref="AA167" si="946">IFERROR((Z167-T167)/T167,0)</f>
        <v>27.352941176470587</v>
      </c>
      <c r="AB167" s="206">
        <f>'Μέση ετήσια κατανάλωση'!G131*'Ενεργοί πελάτες'!AD162</f>
        <v>0</v>
      </c>
      <c r="AC167" s="167">
        <f t="shared" si="862"/>
        <v>5302</v>
      </c>
      <c r="AD167" s="167">
        <f t="shared" ref="AD167" si="947">AB167+AC167</f>
        <v>5302</v>
      </c>
      <c r="AE167" s="6"/>
      <c r="AF167" s="167">
        <f t="shared" ref="AF167" si="948">AD167+AE167</f>
        <v>5302</v>
      </c>
      <c r="AG167" s="203">
        <f t="shared" ref="AG167" si="949">IFERROR((AF167-Z167)/Z167,0)</f>
        <v>0</v>
      </c>
      <c r="AH167" s="206">
        <f>'Μέση ετήσια κατανάλωση'!G131*'Ενεργοί πελάτες'!AG162</f>
        <v>0</v>
      </c>
      <c r="AI167" s="167">
        <f t="shared" si="866"/>
        <v>5302</v>
      </c>
      <c r="AJ167" s="167">
        <f t="shared" ref="AJ167" si="950">AH167+AI167</f>
        <v>5302</v>
      </c>
      <c r="AK167" s="6"/>
      <c r="AL167" s="167">
        <f t="shared" ref="AL167" si="951">AJ167+AK167</f>
        <v>5302</v>
      </c>
      <c r="AM167" s="203">
        <f t="shared" ref="AM167" si="952">IFERROR((AL167-AF167)/AF167,0)</f>
        <v>0</v>
      </c>
      <c r="AN167" s="206">
        <f>'Μέση ετήσια κατανάλωση'!G131*'Ενεργοί πελάτες'!AJ162</f>
        <v>0</v>
      </c>
      <c r="AO167" s="167">
        <f t="shared" si="870"/>
        <v>5302</v>
      </c>
      <c r="AP167" s="167">
        <f t="shared" ref="AP167" si="953">AN167+AO167</f>
        <v>5302</v>
      </c>
      <c r="AQ167" s="6"/>
      <c r="AR167" s="167">
        <f t="shared" ref="AR167" si="954">AP167+AQ167</f>
        <v>5302</v>
      </c>
      <c r="AS167" s="203">
        <f t="shared" ref="AS167" si="955">IFERROR((AR167-AL167)/AL167,0)</f>
        <v>0</v>
      </c>
      <c r="AT167" s="198">
        <f t="shared" ref="AT167" si="956">T167+Z167+AF167+AL167+AR167</f>
        <v>21395</v>
      </c>
      <c r="AU167" s="199">
        <f t="shared" ref="AU167" si="957">IFERROR((AR167/T167)^(1/4)-1,0)</f>
        <v>1.3075415471508767</v>
      </c>
    </row>
    <row r="168" spans="2:47" ht="15" customHeight="1" outlineLevel="1" x14ac:dyDescent="0.25">
      <c r="B168" s="52" t="s">
        <v>291</v>
      </c>
      <c r="C168" s="64" t="s">
        <v>26</v>
      </c>
      <c r="D168" s="91">
        <v>0</v>
      </c>
      <c r="E168" s="91">
        <v>0</v>
      </c>
      <c r="F168" s="203">
        <f t="shared" ref="F168:F174" si="958">IFERROR((E168-D168)/D168,0)</f>
        <v>0</v>
      </c>
      <c r="G168" s="91">
        <v>0</v>
      </c>
      <c r="H168" s="203">
        <f t="shared" ref="H168:H174" si="959">IFERROR((G168-E168)/E168,0)</f>
        <v>0</v>
      </c>
      <c r="I168" s="91">
        <v>0</v>
      </c>
      <c r="J168" s="203">
        <f t="shared" ref="J168:J174" si="960">IFERROR((I168-G168)/G168,0)</f>
        <v>0</v>
      </c>
      <c r="K168" s="91">
        <v>0</v>
      </c>
      <c r="L168" s="157"/>
      <c r="M168" s="71"/>
      <c r="N168" s="203">
        <f t="shared" ref="N168:N174" si="961">IFERROR((M168-I168)/I168,0)</f>
        <v>0</v>
      </c>
      <c r="O168" s="198">
        <f t="shared" ref="O168" si="962">D168+E168+G168+I168+M168</f>
        <v>0</v>
      </c>
      <c r="P168" s="199">
        <f t="shared" ref="P168:P174" si="963">IFERROR((M168/D168)^(1/4)-1,0)</f>
        <v>0</v>
      </c>
      <c r="R168" s="206">
        <f>'Μέση ετήσια κατανάλωση'!F132*'Ενεργοί πελάτες'!X163</f>
        <v>187</v>
      </c>
      <c r="S168" s="6"/>
      <c r="T168" s="172">
        <f t="shared" ref="T168:T171" si="964">R168+S168</f>
        <v>187</v>
      </c>
      <c r="U168" s="228">
        <f t="shared" ref="U168:U174" si="965">IFERROR((T168-M168)/M168,0)</f>
        <v>0</v>
      </c>
      <c r="V168" s="206">
        <f>'Μέση ετήσια κατανάλωση'!G132*'Ενεργοί πελάτες'!AA163</f>
        <v>0</v>
      </c>
      <c r="W168" s="167">
        <f t="shared" si="859"/>
        <v>187</v>
      </c>
      <c r="X168" s="167">
        <f t="shared" ref="X168:X171" si="966">V168+W168</f>
        <v>187</v>
      </c>
      <c r="Y168" s="6"/>
      <c r="Z168" s="167">
        <f t="shared" si="861"/>
        <v>187</v>
      </c>
      <c r="AA168" s="203">
        <f t="shared" ref="AA168:AA174" si="967">IFERROR((Z168-T168)/T168,0)</f>
        <v>0</v>
      </c>
      <c r="AB168" s="206">
        <f>'Μέση ετήσια κατανάλωση'!G132*'Ενεργοί πελάτες'!AD163</f>
        <v>0</v>
      </c>
      <c r="AC168" s="167">
        <f t="shared" si="862"/>
        <v>187</v>
      </c>
      <c r="AD168" s="167">
        <f t="shared" ref="AD168:AD171" si="968">AB168+AC168</f>
        <v>187</v>
      </c>
      <c r="AE168" s="6"/>
      <c r="AF168" s="167">
        <f t="shared" ref="AF168:AF171" si="969">AD168+AE168</f>
        <v>187</v>
      </c>
      <c r="AG168" s="203">
        <f t="shared" ref="AG168:AG174" si="970">IFERROR((AF168-Z168)/Z168,0)</f>
        <v>0</v>
      </c>
      <c r="AH168" s="206">
        <f>'Μέση ετήσια κατανάλωση'!G132*'Ενεργοί πελάτες'!AG163</f>
        <v>0</v>
      </c>
      <c r="AI168" s="167">
        <f t="shared" si="866"/>
        <v>187</v>
      </c>
      <c r="AJ168" s="167">
        <f t="shared" ref="AJ168:AJ171" si="971">AH168+AI168</f>
        <v>187</v>
      </c>
      <c r="AK168" s="6"/>
      <c r="AL168" s="167">
        <f t="shared" ref="AL168:AL171" si="972">AJ168+AK168</f>
        <v>187</v>
      </c>
      <c r="AM168" s="203">
        <f t="shared" ref="AM168:AM174" si="973">IFERROR((AL168-AF168)/AF168,0)</f>
        <v>0</v>
      </c>
      <c r="AN168" s="206">
        <f>'Μέση ετήσια κατανάλωση'!G132*'Ενεργοί πελάτες'!AJ163</f>
        <v>0</v>
      </c>
      <c r="AO168" s="167">
        <f t="shared" si="870"/>
        <v>187</v>
      </c>
      <c r="AP168" s="167">
        <f t="shared" ref="AP168:AP171" si="974">AN168+AO168</f>
        <v>187</v>
      </c>
      <c r="AQ168" s="6"/>
      <c r="AR168" s="167">
        <f t="shared" ref="AR168:AR171" si="975">AP168+AQ168</f>
        <v>187</v>
      </c>
      <c r="AS168" s="203">
        <f t="shared" ref="AS168:AS174" si="976">IFERROR((AR168-AL168)/AL168,0)</f>
        <v>0</v>
      </c>
      <c r="AT168" s="198">
        <f t="shared" ref="AT168:AT171" si="977">T168+Z168+AF168+AL168+AR168</f>
        <v>935</v>
      </c>
      <c r="AU168" s="199">
        <f t="shared" ref="AU168:AU174" si="978">IFERROR((AR168/T168)^(1/4)-1,0)</f>
        <v>0</v>
      </c>
    </row>
    <row r="169" spans="2:47" ht="15" customHeight="1" outlineLevel="1" x14ac:dyDescent="0.25">
      <c r="B169" s="52" t="s">
        <v>307</v>
      </c>
      <c r="C169" s="64" t="s">
        <v>26</v>
      </c>
      <c r="D169" s="91"/>
      <c r="E169" s="91"/>
      <c r="F169" s="203">
        <f t="shared" si="958"/>
        <v>0</v>
      </c>
      <c r="G169" s="91"/>
      <c r="H169" s="203">
        <f t="shared" si="959"/>
        <v>0</v>
      </c>
      <c r="I169" s="91"/>
      <c r="J169" s="203">
        <f t="shared" si="960"/>
        <v>0</v>
      </c>
      <c r="K169" s="91"/>
      <c r="L169" s="157"/>
      <c r="M169" s="71"/>
      <c r="N169" s="203">
        <f t="shared" si="961"/>
        <v>0</v>
      </c>
      <c r="O169" s="198"/>
      <c r="P169" s="199">
        <f t="shared" si="963"/>
        <v>0</v>
      </c>
      <c r="R169" s="206">
        <f>'Μέση ετήσια κατανάλωση'!F133*'Ενεργοί πελάτες'!X164</f>
        <v>0</v>
      </c>
      <c r="S169" s="6"/>
      <c r="T169" s="172">
        <f t="shared" si="964"/>
        <v>0</v>
      </c>
      <c r="U169" s="228">
        <f t="shared" si="965"/>
        <v>0</v>
      </c>
      <c r="V169" s="206">
        <f>'Μέση ετήσια κατανάλωση'!G133*'Ενεργοί πελάτες'!AA164</f>
        <v>0</v>
      </c>
      <c r="W169" s="167">
        <f t="shared" ref="W169:W173" si="979">T169</f>
        <v>0</v>
      </c>
      <c r="X169" s="167">
        <f t="shared" si="966"/>
        <v>0</v>
      </c>
      <c r="Y169" s="6"/>
      <c r="Z169" s="167">
        <f t="shared" ref="Z169:Z173" si="980">X169+Y169</f>
        <v>0</v>
      </c>
      <c r="AA169" s="203">
        <f t="shared" si="967"/>
        <v>0</v>
      </c>
      <c r="AB169" s="206">
        <f>'Μέση ετήσια κατανάλωση'!G133*'Ενεργοί πελάτες'!AD164</f>
        <v>0</v>
      </c>
      <c r="AC169" s="167">
        <f t="shared" ref="AC169:AC173" si="981">X169</f>
        <v>0</v>
      </c>
      <c r="AD169" s="167">
        <f t="shared" si="968"/>
        <v>0</v>
      </c>
      <c r="AE169" s="6"/>
      <c r="AF169" s="167">
        <f t="shared" si="969"/>
        <v>0</v>
      </c>
      <c r="AG169" s="203">
        <f t="shared" si="970"/>
        <v>0</v>
      </c>
      <c r="AH169" s="206">
        <f>'Μέση ετήσια κατανάλωση'!G133*'Ενεργοί πελάτες'!AG164</f>
        <v>0</v>
      </c>
      <c r="AI169" s="167">
        <f t="shared" ref="AI169:AI173" si="982">AD169</f>
        <v>0</v>
      </c>
      <c r="AJ169" s="167">
        <f t="shared" si="971"/>
        <v>0</v>
      </c>
      <c r="AK169" s="6"/>
      <c r="AL169" s="167">
        <f t="shared" si="972"/>
        <v>0</v>
      </c>
      <c r="AM169" s="203">
        <f t="shared" si="973"/>
        <v>0</v>
      </c>
      <c r="AN169" s="206">
        <f>'Μέση ετήσια κατανάλωση'!G133*'Ενεργοί πελάτες'!AJ164</f>
        <v>0</v>
      </c>
      <c r="AO169" s="167">
        <f t="shared" ref="AO169:AO173" si="983">AJ169</f>
        <v>0</v>
      </c>
      <c r="AP169" s="167">
        <f t="shared" si="974"/>
        <v>0</v>
      </c>
      <c r="AQ169" s="6"/>
      <c r="AR169" s="167">
        <f t="shared" si="975"/>
        <v>0</v>
      </c>
      <c r="AS169" s="203">
        <f t="shared" si="976"/>
        <v>0</v>
      </c>
      <c r="AT169" s="198">
        <f t="shared" si="977"/>
        <v>0</v>
      </c>
      <c r="AU169" s="199">
        <f t="shared" si="978"/>
        <v>0</v>
      </c>
    </row>
    <row r="170" spans="2:47" ht="15" customHeight="1" outlineLevel="1" x14ac:dyDescent="0.25">
      <c r="B170" s="52" t="s">
        <v>304</v>
      </c>
      <c r="C170" s="64" t="s">
        <v>26</v>
      </c>
      <c r="D170" s="91"/>
      <c r="E170" s="91"/>
      <c r="F170" s="203">
        <f t="shared" si="958"/>
        <v>0</v>
      </c>
      <c r="G170" s="91"/>
      <c r="H170" s="203">
        <f t="shared" si="959"/>
        <v>0</v>
      </c>
      <c r="I170" s="91"/>
      <c r="J170" s="203">
        <f t="shared" si="960"/>
        <v>0</v>
      </c>
      <c r="K170" s="91"/>
      <c r="L170" s="157"/>
      <c r="M170" s="71"/>
      <c r="N170" s="203">
        <f t="shared" si="961"/>
        <v>0</v>
      </c>
      <c r="O170" s="198"/>
      <c r="P170" s="199">
        <f t="shared" si="963"/>
        <v>0</v>
      </c>
      <c r="R170" s="206">
        <f>'Μέση ετήσια κατανάλωση'!F134*'Ενεργοί πελάτες'!X165</f>
        <v>0</v>
      </c>
      <c r="S170" s="6"/>
      <c r="T170" s="172">
        <f t="shared" si="964"/>
        <v>0</v>
      </c>
      <c r="U170" s="228">
        <f t="shared" si="965"/>
        <v>0</v>
      </c>
      <c r="V170" s="206">
        <f>'Μέση ετήσια κατανάλωση'!G134*'Ενεργοί πελάτες'!AA165</f>
        <v>0</v>
      </c>
      <c r="W170" s="167">
        <f t="shared" si="979"/>
        <v>0</v>
      </c>
      <c r="X170" s="167">
        <f t="shared" si="966"/>
        <v>0</v>
      </c>
      <c r="Y170" s="6"/>
      <c r="Z170" s="167">
        <f t="shared" si="980"/>
        <v>0</v>
      </c>
      <c r="AA170" s="203">
        <f t="shared" si="967"/>
        <v>0</v>
      </c>
      <c r="AB170" s="206">
        <f>'Μέση ετήσια κατανάλωση'!G134*'Ενεργοί πελάτες'!AD165</f>
        <v>0</v>
      </c>
      <c r="AC170" s="167">
        <f t="shared" si="981"/>
        <v>0</v>
      </c>
      <c r="AD170" s="167">
        <f t="shared" si="968"/>
        <v>0</v>
      </c>
      <c r="AE170" s="6"/>
      <c r="AF170" s="167">
        <f t="shared" si="969"/>
        <v>0</v>
      </c>
      <c r="AG170" s="203">
        <f t="shared" si="970"/>
        <v>0</v>
      </c>
      <c r="AH170" s="206">
        <f>'Μέση ετήσια κατανάλωση'!G134*'Ενεργοί πελάτες'!AG165</f>
        <v>0</v>
      </c>
      <c r="AI170" s="167">
        <f t="shared" si="982"/>
        <v>0</v>
      </c>
      <c r="AJ170" s="167">
        <f t="shared" si="971"/>
        <v>0</v>
      </c>
      <c r="AK170" s="6"/>
      <c r="AL170" s="167">
        <f t="shared" si="972"/>
        <v>0</v>
      </c>
      <c r="AM170" s="203">
        <f t="shared" si="973"/>
        <v>0</v>
      </c>
      <c r="AN170" s="206">
        <f>'Μέση ετήσια κατανάλωση'!G134*'Ενεργοί πελάτες'!AJ165</f>
        <v>0</v>
      </c>
      <c r="AO170" s="167">
        <f t="shared" si="983"/>
        <v>0</v>
      </c>
      <c r="AP170" s="167">
        <f t="shared" si="974"/>
        <v>0</v>
      </c>
      <c r="AQ170" s="6"/>
      <c r="AR170" s="167">
        <f t="shared" si="975"/>
        <v>0</v>
      </c>
      <c r="AS170" s="203">
        <f t="shared" si="976"/>
        <v>0</v>
      </c>
      <c r="AT170" s="198">
        <f t="shared" si="977"/>
        <v>0</v>
      </c>
      <c r="AU170" s="199">
        <f t="shared" si="978"/>
        <v>0</v>
      </c>
    </row>
    <row r="171" spans="2:47" ht="15" customHeight="1" outlineLevel="1" x14ac:dyDescent="0.25">
      <c r="B171" s="52" t="s">
        <v>305</v>
      </c>
      <c r="C171" s="64" t="s">
        <v>26</v>
      </c>
      <c r="D171" s="91"/>
      <c r="E171" s="91"/>
      <c r="F171" s="203">
        <f t="shared" si="958"/>
        <v>0</v>
      </c>
      <c r="G171" s="91"/>
      <c r="H171" s="203">
        <f t="shared" si="959"/>
        <v>0</v>
      </c>
      <c r="I171" s="91"/>
      <c r="J171" s="203">
        <f t="shared" si="960"/>
        <v>0</v>
      </c>
      <c r="K171" s="91"/>
      <c r="L171" s="157"/>
      <c r="M171" s="71"/>
      <c r="N171" s="203">
        <f t="shared" si="961"/>
        <v>0</v>
      </c>
      <c r="O171" s="198"/>
      <c r="P171" s="199">
        <f t="shared" si="963"/>
        <v>0</v>
      </c>
      <c r="R171" s="206">
        <f>'Μέση ετήσια κατανάλωση'!F135*'Ενεργοί πελάτες'!X166</f>
        <v>0</v>
      </c>
      <c r="S171" s="6"/>
      <c r="T171" s="172">
        <f t="shared" si="964"/>
        <v>0</v>
      </c>
      <c r="U171" s="228">
        <f t="shared" si="965"/>
        <v>0</v>
      </c>
      <c r="V171" s="206">
        <f>'Μέση ετήσια κατανάλωση'!G135*'Ενεργοί πελάτες'!AA166</f>
        <v>0</v>
      </c>
      <c r="W171" s="167">
        <f t="shared" si="979"/>
        <v>0</v>
      </c>
      <c r="X171" s="167">
        <f t="shared" si="966"/>
        <v>0</v>
      </c>
      <c r="Y171" s="6"/>
      <c r="Z171" s="167">
        <f t="shared" si="980"/>
        <v>0</v>
      </c>
      <c r="AA171" s="203">
        <f t="shared" si="967"/>
        <v>0</v>
      </c>
      <c r="AB171" s="206">
        <f>'Μέση ετήσια κατανάλωση'!G135*'Ενεργοί πελάτες'!AD166</f>
        <v>0</v>
      </c>
      <c r="AC171" s="167">
        <f t="shared" si="981"/>
        <v>0</v>
      </c>
      <c r="AD171" s="167">
        <f t="shared" si="968"/>
        <v>0</v>
      </c>
      <c r="AE171" s="6"/>
      <c r="AF171" s="167">
        <f t="shared" si="969"/>
        <v>0</v>
      </c>
      <c r="AG171" s="203">
        <f t="shared" si="970"/>
        <v>0</v>
      </c>
      <c r="AH171" s="206">
        <f>'Μέση ετήσια κατανάλωση'!G135*'Ενεργοί πελάτες'!AG166</f>
        <v>0</v>
      </c>
      <c r="AI171" s="167">
        <f t="shared" si="982"/>
        <v>0</v>
      </c>
      <c r="AJ171" s="167">
        <f t="shared" si="971"/>
        <v>0</v>
      </c>
      <c r="AK171" s="6"/>
      <c r="AL171" s="167">
        <f t="shared" si="972"/>
        <v>0</v>
      </c>
      <c r="AM171" s="203">
        <f t="shared" si="973"/>
        <v>0</v>
      </c>
      <c r="AN171" s="206">
        <f>'Μέση ετήσια κατανάλωση'!G135*'Ενεργοί πελάτες'!AJ166</f>
        <v>0</v>
      </c>
      <c r="AO171" s="167">
        <f t="shared" si="983"/>
        <v>0</v>
      </c>
      <c r="AP171" s="167">
        <f t="shared" si="974"/>
        <v>0</v>
      </c>
      <c r="AQ171" s="6"/>
      <c r="AR171" s="167">
        <f t="shared" si="975"/>
        <v>0</v>
      </c>
      <c r="AS171" s="203">
        <f t="shared" si="976"/>
        <v>0</v>
      </c>
      <c r="AT171" s="198">
        <f t="shared" si="977"/>
        <v>0</v>
      </c>
      <c r="AU171" s="199">
        <f t="shared" si="978"/>
        <v>0</v>
      </c>
    </row>
    <row r="172" spans="2:47" ht="15" customHeight="1" outlineLevel="1" x14ac:dyDescent="0.25">
      <c r="B172" s="52" t="s">
        <v>306</v>
      </c>
      <c r="C172" s="64" t="s">
        <v>26</v>
      </c>
      <c r="D172" s="91"/>
      <c r="E172" s="91"/>
      <c r="F172" s="203">
        <f t="shared" si="958"/>
        <v>0</v>
      </c>
      <c r="G172" s="91"/>
      <c r="H172" s="203">
        <f t="shared" si="959"/>
        <v>0</v>
      </c>
      <c r="I172" s="91"/>
      <c r="J172" s="203">
        <f t="shared" si="960"/>
        <v>0</v>
      </c>
      <c r="K172" s="91"/>
      <c r="L172" s="157"/>
      <c r="M172" s="71"/>
      <c r="N172" s="203">
        <f t="shared" si="961"/>
        <v>0</v>
      </c>
      <c r="O172" s="198"/>
      <c r="P172" s="199">
        <f t="shared" si="963"/>
        <v>0</v>
      </c>
      <c r="R172" s="206">
        <f>'Μέση ετήσια κατανάλωση'!F136*'Ενεργοί πελάτες'!X167</f>
        <v>0</v>
      </c>
      <c r="S172" s="6"/>
      <c r="T172" s="172">
        <f t="shared" ref="T172:T173" si="984">R172+S172</f>
        <v>0</v>
      </c>
      <c r="U172" s="228">
        <f t="shared" ref="U172:U173" si="985">IFERROR((T172-M172)/M172,0)</f>
        <v>0</v>
      </c>
      <c r="V172" s="206">
        <f>'Μέση ετήσια κατανάλωση'!G136*'Ενεργοί πελάτες'!AA167</f>
        <v>0</v>
      </c>
      <c r="W172" s="167">
        <f t="shared" si="979"/>
        <v>0</v>
      </c>
      <c r="X172" s="167">
        <f t="shared" ref="X172:X173" si="986">V172+W172</f>
        <v>0</v>
      </c>
      <c r="Y172" s="6"/>
      <c r="Z172" s="167">
        <f t="shared" si="980"/>
        <v>0</v>
      </c>
      <c r="AA172" s="203">
        <f t="shared" ref="AA172:AA173" si="987">IFERROR((Z172-T172)/T172,0)</f>
        <v>0</v>
      </c>
      <c r="AB172" s="206">
        <f>'Μέση ετήσια κατανάλωση'!G136*'Ενεργοί πελάτες'!AD167</f>
        <v>0</v>
      </c>
      <c r="AC172" s="167">
        <f t="shared" si="981"/>
        <v>0</v>
      </c>
      <c r="AD172" s="167">
        <f t="shared" ref="AD172:AD173" si="988">AB172+AC172</f>
        <v>0</v>
      </c>
      <c r="AE172" s="6"/>
      <c r="AF172" s="167">
        <f t="shared" ref="AF172:AF173" si="989">AD172+AE172</f>
        <v>0</v>
      </c>
      <c r="AG172" s="203">
        <f t="shared" ref="AG172:AG173" si="990">IFERROR((AF172-Z172)/Z172,0)</f>
        <v>0</v>
      </c>
      <c r="AH172" s="206">
        <f>'Μέση ετήσια κατανάλωση'!G136*'Ενεργοί πελάτες'!AG167</f>
        <v>0</v>
      </c>
      <c r="AI172" s="167">
        <f t="shared" si="982"/>
        <v>0</v>
      </c>
      <c r="AJ172" s="167">
        <f t="shared" ref="AJ172:AJ173" si="991">AH172+AI172</f>
        <v>0</v>
      </c>
      <c r="AK172" s="6"/>
      <c r="AL172" s="167">
        <f t="shared" ref="AL172:AL173" si="992">AJ172+AK172</f>
        <v>0</v>
      </c>
      <c r="AM172" s="203">
        <f t="shared" ref="AM172:AM173" si="993">IFERROR((AL172-AF172)/AF172,0)</f>
        <v>0</v>
      </c>
      <c r="AN172" s="206">
        <f>'Μέση ετήσια κατανάλωση'!G136*'Ενεργοί πελάτες'!AJ167</f>
        <v>0</v>
      </c>
      <c r="AO172" s="167">
        <f t="shared" si="983"/>
        <v>0</v>
      </c>
      <c r="AP172" s="167">
        <f t="shared" ref="AP172:AP173" si="994">AN172+AO172</f>
        <v>0</v>
      </c>
      <c r="AQ172" s="6"/>
      <c r="AR172" s="167">
        <f t="shared" ref="AR172:AR173" si="995">AP172+AQ172</f>
        <v>0</v>
      </c>
      <c r="AS172" s="203">
        <f t="shared" ref="AS172:AS173" si="996">IFERROR((AR172-AL172)/AL172,0)</f>
        <v>0</v>
      </c>
      <c r="AT172" s="198">
        <f t="shared" ref="AT172:AT173" si="997">T172+Z172+AF172+AL172+AR172</f>
        <v>0</v>
      </c>
      <c r="AU172" s="199">
        <f t="shared" ref="AU172:AU173" si="998">IFERROR((AR172/T172)^(1/4)-1,0)</f>
        <v>0</v>
      </c>
    </row>
    <row r="173" spans="2:47" ht="15" customHeight="1" outlineLevel="1" x14ac:dyDescent="0.25">
      <c r="B173" s="52" t="s">
        <v>308</v>
      </c>
      <c r="C173" s="64" t="s">
        <v>26</v>
      </c>
      <c r="D173" s="91"/>
      <c r="E173" s="91"/>
      <c r="F173" s="203">
        <f t="shared" si="958"/>
        <v>0</v>
      </c>
      <c r="G173" s="91"/>
      <c r="H173" s="203">
        <f t="shared" si="959"/>
        <v>0</v>
      </c>
      <c r="I173" s="91"/>
      <c r="J173" s="203">
        <f t="shared" si="960"/>
        <v>0</v>
      </c>
      <c r="K173" s="91"/>
      <c r="L173" s="157"/>
      <c r="M173" s="71"/>
      <c r="N173" s="203">
        <f t="shared" si="961"/>
        <v>0</v>
      </c>
      <c r="O173" s="198"/>
      <c r="P173" s="199">
        <f t="shared" si="963"/>
        <v>0</v>
      </c>
      <c r="R173" s="206">
        <f>'Μέση ετήσια κατανάλωση'!F137*'Ενεργοί πελάτες'!X168</f>
        <v>0</v>
      </c>
      <c r="S173" s="6"/>
      <c r="T173" s="172">
        <f t="shared" si="984"/>
        <v>0</v>
      </c>
      <c r="U173" s="228">
        <f t="shared" si="985"/>
        <v>0</v>
      </c>
      <c r="V173" s="206">
        <f>'Μέση ετήσια κατανάλωση'!G137*'Ενεργοί πελάτες'!AA168</f>
        <v>0</v>
      </c>
      <c r="W173" s="167">
        <f t="shared" si="979"/>
        <v>0</v>
      </c>
      <c r="X173" s="167">
        <f t="shared" si="986"/>
        <v>0</v>
      </c>
      <c r="Y173" s="6"/>
      <c r="Z173" s="167">
        <f t="shared" si="980"/>
        <v>0</v>
      </c>
      <c r="AA173" s="203">
        <f t="shared" si="987"/>
        <v>0</v>
      </c>
      <c r="AB173" s="206">
        <f>'Μέση ετήσια κατανάλωση'!G137*'Ενεργοί πελάτες'!AD168</f>
        <v>0</v>
      </c>
      <c r="AC173" s="167">
        <f t="shared" si="981"/>
        <v>0</v>
      </c>
      <c r="AD173" s="167">
        <f t="shared" si="988"/>
        <v>0</v>
      </c>
      <c r="AE173" s="6"/>
      <c r="AF173" s="167">
        <f t="shared" si="989"/>
        <v>0</v>
      </c>
      <c r="AG173" s="203">
        <f t="shared" si="990"/>
        <v>0</v>
      </c>
      <c r="AH173" s="206">
        <f>'Μέση ετήσια κατανάλωση'!G137*'Ενεργοί πελάτες'!AG168</f>
        <v>0</v>
      </c>
      <c r="AI173" s="167">
        <f t="shared" si="982"/>
        <v>0</v>
      </c>
      <c r="AJ173" s="167">
        <f t="shared" si="991"/>
        <v>0</v>
      </c>
      <c r="AK173" s="6"/>
      <c r="AL173" s="167">
        <f t="shared" si="992"/>
        <v>0</v>
      </c>
      <c r="AM173" s="203">
        <f t="shared" si="993"/>
        <v>0</v>
      </c>
      <c r="AN173" s="206">
        <f>'Μέση ετήσια κατανάλωση'!G137*'Ενεργοί πελάτες'!AJ168</f>
        <v>0</v>
      </c>
      <c r="AO173" s="167">
        <f t="shared" si="983"/>
        <v>0</v>
      </c>
      <c r="AP173" s="167">
        <f t="shared" si="994"/>
        <v>0</v>
      </c>
      <c r="AQ173" s="6"/>
      <c r="AR173" s="167">
        <f t="shared" si="995"/>
        <v>0</v>
      </c>
      <c r="AS173" s="203">
        <f t="shared" si="996"/>
        <v>0</v>
      </c>
      <c r="AT173" s="198">
        <f t="shared" si="997"/>
        <v>0</v>
      </c>
      <c r="AU173" s="199">
        <f t="shared" si="998"/>
        <v>0</v>
      </c>
    </row>
    <row r="174" spans="2:47" ht="15" customHeight="1" outlineLevel="1" x14ac:dyDescent="0.25">
      <c r="B174" s="52"/>
      <c r="C174" s="64"/>
      <c r="D174" s="91"/>
      <c r="E174" s="91"/>
      <c r="F174" s="203">
        <f t="shared" si="958"/>
        <v>0</v>
      </c>
      <c r="G174" s="91"/>
      <c r="H174" s="203">
        <f t="shared" si="959"/>
        <v>0</v>
      </c>
      <c r="I174" s="91"/>
      <c r="J174" s="203">
        <f t="shared" si="960"/>
        <v>0</v>
      </c>
      <c r="K174" s="91"/>
      <c r="L174" s="157"/>
      <c r="M174" s="71"/>
      <c r="N174" s="203">
        <f t="shared" si="961"/>
        <v>0</v>
      </c>
      <c r="O174" s="198"/>
      <c r="P174" s="199">
        <f t="shared" si="963"/>
        <v>0</v>
      </c>
      <c r="R174" s="206"/>
      <c r="S174" s="6"/>
      <c r="T174" s="172"/>
      <c r="U174" s="228">
        <f t="shared" si="965"/>
        <v>0</v>
      </c>
      <c r="V174" s="206"/>
      <c r="W174" s="167"/>
      <c r="X174" s="167"/>
      <c r="Y174" s="6"/>
      <c r="Z174" s="167"/>
      <c r="AA174" s="203">
        <f t="shared" si="967"/>
        <v>0</v>
      </c>
      <c r="AB174" s="206"/>
      <c r="AC174" s="167"/>
      <c r="AD174" s="167"/>
      <c r="AE174" s="6"/>
      <c r="AF174" s="167"/>
      <c r="AG174" s="203">
        <f t="shared" si="970"/>
        <v>0</v>
      </c>
      <c r="AH174" s="206"/>
      <c r="AI174" s="167"/>
      <c r="AJ174" s="167"/>
      <c r="AK174" s="6"/>
      <c r="AL174" s="167"/>
      <c r="AM174" s="203">
        <f t="shared" si="973"/>
        <v>0</v>
      </c>
      <c r="AN174" s="206"/>
      <c r="AO174" s="167"/>
      <c r="AP174" s="167"/>
      <c r="AQ174" s="6"/>
      <c r="AR174" s="167"/>
      <c r="AS174" s="203">
        <f t="shared" si="976"/>
        <v>0</v>
      </c>
      <c r="AT174" s="198"/>
      <c r="AU174" s="199">
        <f t="shared" si="978"/>
        <v>0</v>
      </c>
    </row>
    <row r="175" spans="2:47" ht="15" customHeight="1" outlineLevel="1" x14ac:dyDescent="0.25">
      <c r="B175" s="349" t="s">
        <v>90</v>
      </c>
      <c r="C175" s="350"/>
      <c r="D175" s="350"/>
      <c r="E175" s="350"/>
      <c r="F175" s="350"/>
      <c r="G175" s="350"/>
      <c r="H175" s="350"/>
      <c r="I175" s="350"/>
      <c r="J175" s="350"/>
      <c r="K175" s="350"/>
      <c r="L175" s="350"/>
      <c r="M175" s="350"/>
      <c r="N175" s="350"/>
      <c r="O175" s="350"/>
      <c r="P175" s="350"/>
      <c r="Q175" s="350"/>
      <c r="R175" s="350"/>
      <c r="S175" s="350"/>
      <c r="T175" s="350"/>
      <c r="U175" s="350"/>
      <c r="V175" s="350"/>
      <c r="W175" s="350"/>
      <c r="X175" s="350"/>
      <c r="Y175" s="350"/>
      <c r="Z175" s="350"/>
      <c r="AA175" s="350"/>
      <c r="AB175" s="350"/>
      <c r="AC175" s="350"/>
      <c r="AD175" s="350"/>
      <c r="AE175" s="350"/>
      <c r="AF175" s="350"/>
      <c r="AG175" s="350"/>
      <c r="AH175" s="350"/>
      <c r="AI175" s="350"/>
      <c r="AJ175" s="350"/>
      <c r="AK175" s="350"/>
      <c r="AL175" s="350"/>
      <c r="AM175" s="350"/>
      <c r="AN175" s="350"/>
      <c r="AO175" s="350"/>
      <c r="AP175" s="350"/>
      <c r="AQ175" s="350"/>
      <c r="AR175" s="350"/>
      <c r="AS175" s="350"/>
      <c r="AT175" s="350"/>
      <c r="AU175" s="397"/>
    </row>
    <row r="176" spans="2:47" ht="15" customHeight="1" outlineLevel="1" x14ac:dyDescent="0.25">
      <c r="B176" s="52" t="s">
        <v>82</v>
      </c>
      <c r="C176" s="49" t="s">
        <v>26</v>
      </c>
      <c r="D176" s="231">
        <f>SUM(D160:D174)</f>
        <v>0</v>
      </c>
      <c r="E176" s="207">
        <f>SUM(E160:E174)</f>
        <v>0</v>
      </c>
      <c r="F176" s="202">
        <f>IFERROR((E176-D176)/D176,0)</f>
        <v>0</v>
      </c>
      <c r="G176" s="207">
        <f>SUM(G160:G174)</f>
        <v>0</v>
      </c>
      <c r="H176" s="202">
        <f t="shared" si="855"/>
        <v>0</v>
      </c>
      <c r="I176" s="207">
        <f>SUM(I160:I174)</f>
        <v>0</v>
      </c>
      <c r="J176" s="202">
        <f t="shared" si="856"/>
        <v>0</v>
      </c>
      <c r="K176" s="207">
        <f>SUM(K160:K174)</f>
        <v>0</v>
      </c>
      <c r="L176" s="159"/>
      <c r="M176" s="207">
        <f>SUM(M160:M174)</f>
        <v>0</v>
      </c>
      <c r="N176" s="202">
        <f t="shared" si="857"/>
        <v>0</v>
      </c>
      <c r="O176" s="218">
        <f>SUM(O160:O174)</f>
        <v>0</v>
      </c>
      <c r="P176" s="199">
        <f>IFERROR((M176/D176)^(1/4)-1,0)</f>
        <v>0</v>
      </c>
      <c r="R176" s="207">
        <f>SUM(R160:R174)</f>
        <v>750</v>
      </c>
      <c r="S176" s="187">
        <f>SUM(S160:S174)</f>
        <v>0</v>
      </c>
      <c r="T176" s="187">
        <f>SUM(T160:T174)</f>
        <v>750</v>
      </c>
      <c r="U176" s="202">
        <f>IFERROR((T176-M176)/M176,0)</f>
        <v>0</v>
      </c>
      <c r="V176" s="207">
        <f>SUM(V160:V174)</f>
        <v>21600</v>
      </c>
      <c r="W176" s="172">
        <f>SUM(W160:W174)</f>
        <v>750</v>
      </c>
      <c r="X176" s="172">
        <f>SUM(X160:X174)</f>
        <v>22350</v>
      </c>
      <c r="Y176" s="172">
        <f>SUM(Y160:Y174)</f>
        <v>0</v>
      </c>
      <c r="Z176" s="172">
        <f>SUM(Z160:Z174)</f>
        <v>22350</v>
      </c>
      <c r="AA176" s="202">
        <f>IFERROR((Z176-T176)/T176,0)</f>
        <v>28.8</v>
      </c>
      <c r="AB176" s="207">
        <f>SUM(AB160:AB174)</f>
        <v>0</v>
      </c>
      <c r="AC176" s="172">
        <f>SUM(AC160:AC174)</f>
        <v>22350</v>
      </c>
      <c r="AD176" s="172">
        <f>SUM(AD160:AD174)</f>
        <v>22350</v>
      </c>
      <c r="AE176" s="172">
        <f>SUM(AE160:AE174)</f>
        <v>0</v>
      </c>
      <c r="AF176" s="172">
        <f>SUM(AF160:AF174)</f>
        <v>22350</v>
      </c>
      <c r="AG176" s="202">
        <f t="shared" si="865"/>
        <v>0</v>
      </c>
      <c r="AH176" s="207">
        <f>SUM(AH160:AH174)</f>
        <v>0</v>
      </c>
      <c r="AI176" s="172">
        <f>SUM(AI160:AI174)</f>
        <v>22350</v>
      </c>
      <c r="AJ176" s="172">
        <f>SUM(AJ160:AJ174)</f>
        <v>22350</v>
      </c>
      <c r="AK176" s="172">
        <f>SUM(AK160:AK174)</f>
        <v>0</v>
      </c>
      <c r="AL176" s="172">
        <f>SUM(AL160:AL174)</f>
        <v>22350</v>
      </c>
      <c r="AM176" s="202">
        <f t="shared" si="869"/>
        <v>0</v>
      </c>
      <c r="AN176" s="207">
        <f>SUM(AN160:AN174)</f>
        <v>6296</v>
      </c>
      <c r="AO176" s="172">
        <f>SUM(AO160:AO174)</f>
        <v>22350</v>
      </c>
      <c r="AP176" s="172">
        <f>SUM(AP160:AP174)</f>
        <v>28646</v>
      </c>
      <c r="AQ176" s="172">
        <f>SUM(AQ160:AQ174)</f>
        <v>0</v>
      </c>
      <c r="AR176" s="172">
        <f>SUM(AR160:AR174)</f>
        <v>28646</v>
      </c>
      <c r="AS176" s="202">
        <f t="shared" si="873"/>
        <v>0.28170022371364656</v>
      </c>
      <c r="AT176" s="218">
        <f>SUM(AT160:AT174)</f>
        <v>96446</v>
      </c>
      <c r="AU176" s="199">
        <f>IFERROR((AR176/T176)^(1/4)-1,0)</f>
        <v>1.4859974626998116</v>
      </c>
    </row>
  </sheetData>
  <mergeCells count="381">
    <mergeCell ref="E157:F157"/>
    <mergeCell ref="G157:H157"/>
    <mergeCell ref="I157:J157"/>
    <mergeCell ref="K157:L157"/>
    <mergeCell ref="R157:U157"/>
    <mergeCell ref="V157:AA157"/>
    <mergeCell ref="AB157:AG157"/>
    <mergeCell ref="AH157:AM157"/>
    <mergeCell ref="AN157:AS157"/>
    <mergeCell ref="M157:N157"/>
    <mergeCell ref="O156:P157"/>
    <mergeCell ref="H110:H111"/>
    <mergeCell ref="I110:I111"/>
    <mergeCell ref="J110:J111"/>
    <mergeCell ref="M110:M111"/>
    <mergeCell ref="N110:N111"/>
    <mergeCell ref="AT133:AU133"/>
    <mergeCell ref="O132:P133"/>
    <mergeCell ref="M133:N133"/>
    <mergeCell ref="D156:L156"/>
    <mergeCell ref="R156:AU156"/>
    <mergeCell ref="E133:F133"/>
    <mergeCell ref="G133:H133"/>
    <mergeCell ref="I133:J133"/>
    <mergeCell ref="K133:L133"/>
    <mergeCell ref="R133:U133"/>
    <mergeCell ref="V133:AA133"/>
    <mergeCell ref="AB133:AG133"/>
    <mergeCell ref="Z134:Z135"/>
    <mergeCell ref="AA134:AA135"/>
    <mergeCell ref="AB134:AD134"/>
    <mergeCell ref="AE134:AE135"/>
    <mergeCell ref="AF134:AF135"/>
    <mergeCell ref="AH134:AJ134"/>
    <mergeCell ref="AQ110:AQ111"/>
    <mergeCell ref="I109:J109"/>
    <mergeCell ref="K109:L109"/>
    <mergeCell ref="R109:U109"/>
    <mergeCell ref="V109:AA109"/>
    <mergeCell ref="AB109:AG109"/>
    <mergeCell ref="AH109:AM109"/>
    <mergeCell ref="AN109:AS109"/>
    <mergeCell ref="AT109:AU109"/>
    <mergeCell ref="O108:P109"/>
    <mergeCell ref="M109:N109"/>
    <mergeCell ref="U158:U159"/>
    <mergeCell ref="V134:X134"/>
    <mergeCell ref="Y134:Y135"/>
    <mergeCell ref="AT13:AT14"/>
    <mergeCell ref="AU13:AU14"/>
    <mergeCell ref="AM13:AM14"/>
    <mergeCell ref="AN13:AP13"/>
    <mergeCell ref="AQ13:AQ14"/>
    <mergeCell ref="AR13:AR14"/>
    <mergeCell ref="B55:AU55"/>
    <mergeCell ref="M61:N61"/>
    <mergeCell ref="M60:N60"/>
    <mergeCell ref="AT37:AU37"/>
    <mergeCell ref="O36:P37"/>
    <mergeCell ref="I158:I159"/>
    <mergeCell ref="J158:J159"/>
    <mergeCell ref="D158:D159"/>
    <mergeCell ref="E158:E159"/>
    <mergeCell ref="F158:F159"/>
    <mergeCell ref="G158:G159"/>
    <mergeCell ref="H158:H159"/>
    <mergeCell ref="D132:L132"/>
    <mergeCell ref="D108:L108"/>
    <mergeCell ref="E109:F109"/>
    <mergeCell ref="G109:H109"/>
    <mergeCell ref="AB158:AD158"/>
    <mergeCell ref="P158:P159"/>
    <mergeCell ref="R158:R159"/>
    <mergeCell ref="S158:S159"/>
    <mergeCell ref="R61:U61"/>
    <mergeCell ref="V61:AA61"/>
    <mergeCell ref="AB61:AG61"/>
    <mergeCell ref="T158:T159"/>
    <mergeCell ref="M158:M159"/>
    <mergeCell ref="N158:N159"/>
    <mergeCell ref="O158:O159"/>
    <mergeCell ref="V158:X158"/>
    <mergeCell ref="K110:K111"/>
    <mergeCell ref="M108:N108"/>
    <mergeCell ref="Y158:Y159"/>
    <mergeCell ref="Z158:Z159"/>
    <mergeCell ref="AA158:AA159"/>
    <mergeCell ref="K158:K159"/>
    <mergeCell ref="L158:L159"/>
    <mergeCell ref="M132:N132"/>
    <mergeCell ref="M156:N156"/>
    <mergeCell ref="R108:AU108"/>
    <mergeCell ref="AU110:AU111"/>
    <mergeCell ref="AH37:AM37"/>
    <mergeCell ref="AN37:AS37"/>
    <mergeCell ref="AH38:AJ38"/>
    <mergeCell ref="AK38:AK39"/>
    <mergeCell ref="AL38:AL39"/>
    <mergeCell ref="AM38:AM39"/>
    <mergeCell ref="AN38:AP38"/>
    <mergeCell ref="AR38:AR39"/>
    <mergeCell ref="I61:J61"/>
    <mergeCell ref="K61:L61"/>
    <mergeCell ref="K38:K39"/>
    <mergeCell ref="B58:AU58"/>
    <mergeCell ref="AH61:AM61"/>
    <mergeCell ref="AN61:AS61"/>
    <mergeCell ref="AT61:AU61"/>
    <mergeCell ref="O60:P61"/>
    <mergeCell ref="D60:L60"/>
    <mergeCell ref="R60:AU60"/>
    <mergeCell ref="E61:F61"/>
    <mergeCell ref="E37:F37"/>
    <mergeCell ref="G37:H37"/>
    <mergeCell ref="I37:J37"/>
    <mergeCell ref="AE38:AE39"/>
    <mergeCell ref="AF38:AF39"/>
    <mergeCell ref="O11:P12"/>
    <mergeCell ref="D36:L36"/>
    <mergeCell ref="K12:L12"/>
    <mergeCell ref="K13:K14"/>
    <mergeCell ref="L13:L14"/>
    <mergeCell ref="K37:L37"/>
    <mergeCell ref="R37:U37"/>
    <mergeCell ref="V37:AA37"/>
    <mergeCell ref="AB37:AG37"/>
    <mergeCell ref="E12:F12"/>
    <mergeCell ref="G12:H12"/>
    <mergeCell ref="I12:J12"/>
    <mergeCell ref="B34:AU34"/>
    <mergeCell ref="D13:D14"/>
    <mergeCell ref="R36:AU36"/>
    <mergeCell ref="M37:N37"/>
    <mergeCell ref="I13:I14"/>
    <mergeCell ref="J13:J14"/>
    <mergeCell ref="M36:N36"/>
    <mergeCell ref="B36:B39"/>
    <mergeCell ref="C36:C39"/>
    <mergeCell ref="G38:G39"/>
    <mergeCell ref="H38:H39"/>
    <mergeCell ref="I38:I39"/>
    <mergeCell ref="AT157:AU157"/>
    <mergeCell ref="AU158:AU159"/>
    <mergeCell ref="AL158:AL159"/>
    <mergeCell ref="AM158:AM159"/>
    <mergeCell ref="AN158:AP158"/>
    <mergeCell ref="AQ158:AQ159"/>
    <mergeCell ref="AR158:AR159"/>
    <mergeCell ref="AE158:AE159"/>
    <mergeCell ref="AF158:AF159"/>
    <mergeCell ref="AG158:AG159"/>
    <mergeCell ref="AH158:AJ158"/>
    <mergeCell ref="AK158:AK159"/>
    <mergeCell ref="AS158:AS159"/>
    <mergeCell ref="AT158:AT159"/>
    <mergeCell ref="AK134:AK135"/>
    <mergeCell ref="AL134:AL135"/>
    <mergeCell ref="AM134:AM135"/>
    <mergeCell ref="AN134:AP134"/>
    <mergeCell ref="AG134:AG135"/>
    <mergeCell ref="B154:AU154"/>
    <mergeCell ref="K134:K135"/>
    <mergeCell ref="L134:L135"/>
    <mergeCell ref="AQ134:AQ135"/>
    <mergeCell ref="D134:D135"/>
    <mergeCell ref="E134:E135"/>
    <mergeCell ref="F134:F135"/>
    <mergeCell ref="G134:G135"/>
    <mergeCell ref="H134:H135"/>
    <mergeCell ref="I134:I135"/>
    <mergeCell ref="J134:J135"/>
    <mergeCell ref="M134:M135"/>
    <mergeCell ref="N134:N135"/>
    <mergeCell ref="AU134:AU135"/>
    <mergeCell ref="AS134:AS135"/>
    <mergeCell ref="AT134:AT135"/>
    <mergeCell ref="O134:O135"/>
    <mergeCell ref="P134:P135"/>
    <mergeCell ref="R134:R135"/>
    <mergeCell ref="AT110:AT111"/>
    <mergeCell ref="AR110:AR111"/>
    <mergeCell ref="R132:AU132"/>
    <mergeCell ref="T110:T111"/>
    <mergeCell ref="U110:U111"/>
    <mergeCell ref="V110:X110"/>
    <mergeCell ref="Y110:Y111"/>
    <mergeCell ref="Z110:Z111"/>
    <mergeCell ref="AA110:AA111"/>
    <mergeCell ref="AB110:AD110"/>
    <mergeCell ref="R110:R111"/>
    <mergeCell ref="S110:S111"/>
    <mergeCell ref="S134:S135"/>
    <mergeCell ref="AL110:AL111"/>
    <mergeCell ref="AM110:AM111"/>
    <mergeCell ref="AN110:AP110"/>
    <mergeCell ref="O110:O111"/>
    <mergeCell ref="P110:P111"/>
    <mergeCell ref="AE110:AE111"/>
    <mergeCell ref="AE62:AE63"/>
    <mergeCell ref="AF62:AF63"/>
    <mergeCell ref="T62:T63"/>
    <mergeCell ref="R84:AU84"/>
    <mergeCell ref="R85:U85"/>
    <mergeCell ref="V85:AA85"/>
    <mergeCell ref="AB85:AG85"/>
    <mergeCell ref="AH85:AM85"/>
    <mergeCell ref="B103:AU103"/>
    <mergeCell ref="B127:AU127"/>
    <mergeCell ref="AH133:AM133"/>
    <mergeCell ref="AN133:AS133"/>
    <mergeCell ref="AF110:AF111"/>
    <mergeCell ref="AG110:AG111"/>
    <mergeCell ref="AH110:AJ110"/>
    <mergeCell ref="AK110:AK111"/>
    <mergeCell ref="AS110:AS111"/>
    <mergeCell ref="AN86:AP86"/>
    <mergeCell ref="AQ86:AQ87"/>
    <mergeCell ref="AR86:AR87"/>
    <mergeCell ref="AS86:AS87"/>
    <mergeCell ref="AT86:AT87"/>
    <mergeCell ref="AG86:AG87"/>
    <mergeCell ref="AH86:AJ86"/>
    <mergeCell ref="AK86:AK87"/>
    <mergeCell ref="K62:K63"/>
    <mergeCell ref="L62:L63"/>
    <mergeCell ref="K86:K87"/>
    <mergeCell ref="L86:L87"/>
    <mergeCell ref="O86:O87"/>
    <mergeCell ref="P86:P87"/>
    <mergeCell ref="R86:R87"/>
    <mergeCell ref="Z86:Z87"/>
    <mergeCell ref="AA86:AA87"/>
    <mergeCell ref="AB86:AD86"/>
    <mergeCell ref="AE86:AE87"/>
    <mergeCell ref="AN62:AP62"/>
    <mergeCell ref="AK62:AK63"/>
    <mergeCell ref="M62:M63"/>
    <mergeCell ref="D84:L84"/>
    <mergeCell ref="E85:F85"/>
    <mergeCell ref="AG38:AG39"/>
    <mergeCell ref="AN85:AS85"/>
    <mergeCell ref="AT85:AU85"/>
    <mergeCell ref="AQ62:AQ63"/>
    <mergeCell ref="AB62:AD62"/>
    <mergeCell ref="B82:AU82"/>
    <mergeCell ref="AL62:AL63"/>
    <mergeCell ref="AM62:AM63"/>
    <mergeCell ref="AU62:AU63"/>
    <mergeCell ref="N62:N63"/>
    <mergeCell ref="AG62:AG63"/>
    <mergeCell ref="AR62:AR63"/>
    <mergeCell ref="AS62:AS63"/>
    <mergeCell ref="AT62:AT63"/>
    <mergeCell ref="B79:AU79"/>
    <mergeCell ref="G61:H61"/>
    <mergeCell ref="G85:H85"/>
    <mergeCell ref="I85:J85"/>
    <mergeCell ref="K85:L85"/>
    <mergeCell ref="O84:P85"/>
    <mergeCell ref="M85:N85"/>
    <mergeCell ref="I62:I63"/>
    <mergeCell ref="AS38:AS39"/>
    <mergeCell ref="F38:F39"/>
    <mergeCell ref="P38:P39"/>
    <mergeCell ref="D86:D87"/>
    <mergeCell ref="E86:E87"/>
    <mergeCell ref="F86:F87"/>
    <mergeCell ref="G86:G87"/>
    <mergeCell ref="H86:H87"/>
    <mergeCell ref="I86:I87"/>
    <mergeCell ref="J86:J87"/>
    <mergeCell ref="M86:M87"/>
    <mergeCell ref="N86:N87"/>
    <mergeCell ref="D38:D39"/>
    <mergeCell ref="E38:E39"/>
    <mergeCell ref="S13:S14"/>
    <mergeCell ref="U13:U14"/>
    <mergeCell ref="V13:X13"/>
    <mergeCell ref="T13:T14"/>
    <mergeCell ref="Y13:Y14"/>
    <mergeCell ref="Z13:Z14"/>
    <mergeCell ref="AA13:AA14"/>
    <mergeCell ref="V38:X38"/>
    <mergeCell ref="Y38:Y39"/>
    <mergeCell ref="Z38:Z39"/>
    <mergeCell ref="B5:I5"/>
    <mergeCell ref="J2:L2"/>
    <mergeCell ref="B9:AU9"/>
    <mergeCell ref="AH12:AM12"/>
    <mergeCell ref="AN12:AS12"/>
    <mergeCell ref="N13:N14"/>
    <mergeCell ref="O13:O14"/>
    <mergeCell ref="P13:P14"/>
    <mergeCell ref="M12:N12"/>
    <mergeCell ref="R12:U12"/>
    <mergeCell ref="V12:AA12"/>
    <mergeCell ref="AB12:AG12"/>
    <mergeCell ref="R13:R14"/>
    <mergeCell ref="AS13:AS14"/>
    <mergeCell ref="AT12:AU12"/>
    <mergeCell ref="D11:L11"/>
    <mergeCell ref="M11:N11"/>
    <mergeCell ref="R11:AU11"/>
    <mergeCell ref="C11:C14"/>
    <mergeCell ref="B11:B14"/>
    <mergeCell ref="C2:G2"/>
    <mergeCell ref="H13:H14"/>
    <mergeCell ref="AH13:AJ13"/>
    <mergeCell ref="AK13:AK14"/>
    <mergeCell ref="M13:M14"/>
    <mergeCell ref="L38:L39"/>
    <mergeCell ref="B30:AU30"/>
    <mergeCell ref="O38:O39"/>
    <mergeCell ref="J38:J39"/>
    <mergeCell ref="M38:M39"/>
    <mergeCell ref="N38:N39"/>
    <mergeCell ref="AQ38:AQ39"/>
    <mergeCell ref="AB13:AD13"/>
    <mergeCell ref="AE13:AE14"/>
    <mergeCell ref="AF13:AF14"/>
    <mergeCell ref="AG13:AG14"/>
    <mergeCell ref="AT38:AT39"/>
    <mergeCell ref="AU38:AU39"/>
    <mergeCell ref="E13:E14"/>
    <mergeCell ref="F13:F14"/>
    <mergeCell ref="G13:G14"/>
    <mergeCell ref="AL13:AL14"/>
    <mergeCell ref="AA38:AA39"/>
    <mergeCell ref="R38:R39"/>
    <mergeCell ref="S38:S39"/>
    <mergeCell ref="T38:T39"/>
    <mergeCell ref="U38:U39"/>
    <mergeCell ref="AB38:AD38"/>
    <mergeCell ref="B151:AU151"/>
    <mergeCell ref="B156:B159"/>
    <mergeCell ref="C156:C159"/>
    <mergeCell ref="M84:N84"/>
    <mergeCell ref="C132:C135"/>
    <mergeCell ref="C84:C87"/>
    <mergeCell ref="O62:O63"/>
    <mergeCell ref="P62:P63"/>
    <mergeCell ref="T134:T135"/>
    <mergeCell ref="U134:U135"/>
    <mergeCell ref="L110:L111"/>
    <mergeCell ref="S86:S87"/>
    <mergeCell ref="T86:T87"/>
    <mergeCell ref="U86:U87"/>
    <mergeCell ref="V86:X86"/>
    <mergeCell ref="AR134:AR135"/>
    <mergeCell ref="R62:R63"/>
    <mergeCell ref="S62:S63"/>
    <mergeCell ref="B84:B87"/>
    <mergeCell ref="H62:H63"/>
    <mergeCell ref="B106:AU106"/>
    <mergeCell ref="J62:J63"/>
    <mergeCell ref="C60:C63"/>
    <mergeCell ref="AU86:AU87"/>
    <mergeCell ref="B175:AU175"/>
    <mergeCell ref="U62:U63"/>
    <mergeCell ref="V62:X62"/>
    <mergeCell ref="Y62:Y63"/>
    <mergeCell ref="Z62:Z63"/>
    <mergeCell ref="AA62:AA63"/>
    <mergeCell ref="B130:AU130"/>
    <mergeCell ref="Y86:Y87"/>
    <mergeCell ref="B132:B135"/>
    <mergeCell ref="AF86:AF87"/>
    <mergeCell ref="AL86:AL87"/>
    <mergeCell ref="AM86:AM87"/>
    <mergeCell ref="D110:D111"/>
    <mergeCell ref="E110:E111"/>
    <mergeCell ref="F110:F111"/>
    <mergeCell ref="G110:G111"/>
    <mergeCell ref="AH62:AJ62"/>
    <mergeCell ref="B60:B63"/>
    <mergeCell ref="B108:B111"/>
    <mergeCell ref="C108:C111"/>
    <mergeCell ref="D62:D63"/>
    <mergeCell ref="E62:E63"/>
    <mergeCell ref="F62:F63"/>
    <mergeCell ref="G62:G63"/>
  </mergeCells>
  <hyperlinks>
    <hyperlink ref="J2" location="'Αρχική σελίδα'!A1" display="Πίσω στην αρχική σελίδα" xr:uid="{E13B5BF1-7FCE-4663-BF50-BCBC86A3AFA6}"/>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theme="4" tint="0.79998168889431442"/>
  </sheetPr>
  <dimension ref="B2:AK167"/>
  <sheetViews>
    <sheetView showGridLines="0" topLeftCell="A107" zoomScaleNormal="100" workbookViewId="0">
      <selection activeCell="D125" sqref="D125"/>
    </sheetView>
  </sheetViews>
  <sheetFormatPr defaultRowHeight="15" outlineLevelRow="1" x14ac:dyDescent="0.25"/>
  <cols>
    <col min="1" max="1" width="2.85546875" customWidth="1"/>
    <col min="2" max="2" width="28.28515625" customWidth="1"/>
    <col min="3" max="3" width="13.7109375" customWidth="1"/>
    <col min="4" max="4" width="17.7109375" customWidth="1"/>
    <col min="5" max="9" width="13.7109375" customWidth="1"/>
  </cols>
  <sheetData>
    <row r="2" spans="2:37" ht="18.75" x14ac:dyDescent="0.3">
      <c r="B2" s="1" t="s">
        <v>1</v>
      </c>
      <c r="C2" s="353" t="str">
        <f>'Αρχική σελίδα'!C3</f>
        <v>HENGAS</v>
      </c>
      <c r="D2" s="353"/>
      <c r="E2" s="353"/>
      <c r="F2" s="353"/>
      <c r="G2" s="353"/>
      <c r="H2" s="110"/>
      <c r="J2" s="354" t="s">
        <v>213</v>
      </c>
      <c r="K2" s="354"/>
      <c r="L2" s="354"/>
    </row>
    <row r="3" spans="2:37" ht="18.75" x14ac:dyDescent="0.3">
      <c r="B3" s="2" t="s">
        <v>2</v>
      </c>
      <c r="C3" s="111">
        <f>'Αρχική σελίδα'!C4</f>
        <v>2023</v>
      </c>
      <c r="D3" s="48" t="s">
        <v>0</v>
      </c>
      <c r="E3" s="48">
        <f>C3+4</f>
        <v>2027</v>
      </c>
    </row>
    <row r="4" spans="2:37" ht="14.45" customHeight="1" x14ac:dyDescent="0.3">
      <c r="C4" s="2"/>
      <c r="D4" s="48"/>
      <c r="E4" s="48"/>
    </row>
    <row r="5" spans="2:37" ht="44.45" customHeight="1" x14ac:dyDescent="0.25">
      <c r="B5" s="355" t="s">
        <v>248</v>
      </c>
      <c r="C5" s="355"/>
      <c r="D5" s="355"/>
      <c r="E5" s="355"/>
      <c r="F5" s="355"/>
      <c r="G5" s="355"/>
      <c r="H5" s="355"/>
      <c r="I5" s="355"/>
    </row>
    <row r="6" spans="2:37" x14ac:dyDescent="0.25">
      <c r="B6" s="271"/>
      <c r="C6" s="271"/>
      <c r="D6" s="271"/>
      <c r="E6" s="271"/>
      <c r="F6" s="271"/>
      <c r="G6" s="271"/>
      <c r="H6" s="271"/>
    </row>
    <row r="7" spans="2:37" ht="18.75" x14ac:dyDescent="0.3">
      <c r="B7" s="112" t="s">
        <v>148</v>
      </c>
      <c r="C7" s="113"/>
      <c r="D7" s="113"/>
      <c r="E7" s="113"/>
      <c r="F7" s="113"/>
      <c r="G7" s="113"/>
      <c r="H7" s="110"/>
      <c r="I7" s="110"/>
    </row>
    <row r="8" spans="2:37" ht="18.75" x14ac:dyDescent="0.3">
      <c r="C8" s="2"/>
      <c r="D8" s="48"/>
      <c r="E8" s="48"/>
      <c r="F8" s="48"/>
    </row>
    <row r="9" spans="2:37" ht="15.75" x14ac:dyDescent="0.25">
      <c r="B9" s="352" t="s">
        <v>3</v>
      </c>
      <c r="C9" s="352"/>
      <c r="D9" s="352"/>
      <c r="E9" s="352"/>
      <c r="F9" s="352"/>
      <c r="G9" s="352"/>
      <c r="H9" s="352"/>
      <c r="I9" s="352"/>
    </row>
    <row r="10" spans="2:37"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2:37" ht="45" outlineLevel="1" x14ac:dyDescent="0.25">
      <c r="B11" s="81"/>
      <c r="C11" s="63" t="s">
        <v>20</v>
      </c>
      <c r="D11" s="103" t="str">
        <f>"Μέσο μοναδιαίο κόστος υποδομής "&amp;($C$3-5)&amp;" - "&amp;(($C$3-1))</f>
        <v>Μέσο μοναδιαίο κόστος υποδομής 2018 - 2022</v>
      </c>
      <c r="E11" s="88">
        <f>$C$3</f>
        <v>2023</v>
      </c>
      <c r="F11" s="88">
        <f>$C$3+1</f>
        <v>2024</v>
      </c>
      <c r="G11" s="88">
        <f>$C$3+2</f>
        <v>2025</v>
      </c>
      <c r="H11" s="88">
        <f>$C$3+3</f>
        <v>2026</v>
      </c>
      <c r="I11" s="88">
        <f>$C$3+4</f>
        <v>2027</v>
      </c>
    </row>
    <row r="12" spans="2:37" outlineLevel="1" x14ac:dyDescent="0.25">
      <c r="B12" s="281" t="s">
        <v>283</v>
      </c>
      <c r="C12" s="49" t="s">
        <v>95</v>
      </c>
      <c r="D12" s="136"/>
      <c r="E12" s="89">
        <v>0</v>
      </c>
      <c r="F12" s="89">
        <v>0</v>
      </c>
      <c r="G12" s="89"/>
      <c r="H12" s="89"/>
      <c r="I12" s="89"/>
    </row>
    <row r="13" spans="2:37" s="55" customFormat="1" outlineLevel="1" x14ac:dyDescent="0.25">
      <c r="B13" s="52" t="s">
        <v>284</v>
      </c>
      <c r="C13" s="49" t="s">
        <v>95</v>
      </c>
      <c r="D13" s="275"/>
      <c r="E13" s="89">
        <v>0</v>
      </c>
      <c r="F13" s="89">
        <v>0</v>
      </c>
      <c r="G13" s="89"/>
      <c r="H13" s="89"/>
      <c r="I13" s="89"/>
    </row>
    <row r="14" spans="2:37" s="55" customFormat="1" outlineLevel="1" x14ac:dyDescent="0.25">
      <c r="B14" s="52" t="s">
        <v>285</v>
      </c>
      <c r="C14" s="49" t="s">
        <v>95</v>
      </c>
      <c r="D14" s="275"/>
      <c r="E14" s="89">
        <v>0</v>
      </c>
      <c r="F14" s="89">
        <v>0</v>
      </c>
      <c r="G14" s="89"/>
      <c r="H14" s="89"/>
      <c r="I14" s="89"/>
    </row>
    <row r="15" spans="2:37" outlineLevel="1" x14ac:dyDescent="0.25">
      <c r="B15" s="52" t="s">
        <v>286</v>
      </c>
      <c r="C15" s="49" t="s">
        <v>95</v>
      </c>
      <c r="D15" s="136"/>
      <c r="E15" s="89">
        <v>315.84384615384602</v>
      </c>
      <c r="F15" s="89">
        <v>315.84384615384613</v>
      </c>
      <c r="G15" s="89"/>
      <c r="H15" s="89"/>
      <c r="I15" s="89"/>
    </row>
    <row r="16" spans="2:37" s="55" customFormat="1" outlineLevel="1" x14ac:dyDescent="0.25">
      <c r="B16" s="52" t="s">
        <v>287</v>
      </c>
      <c r="C16" s="49" t="s">
        <v>95</v>
      </c>
      <c r="D16" s="136"/>
      <c r="E16" s="89">
        <v>283.97571428571428</v>
      </c>
      <c r="F16" s="89">
        <v>283.97571428571428</v>
      </c>
      <c r="G16" s="89"/>
      <c r="H16" s="89"/>
      <c r="I16" s="89"/>
    </row>
    <row r="17" spans="2:37" outlineLevel="1" x14ac:dyDescent="0.25">
      <c r="B17" s="52" t="s">
        <v>288</v>
      </c>
      <c r="C17" s="49" t="s">
        <v>95</v>
      </c>
      <c r="D17" s="136"/>
      <c r="E17" s="89">
        <v>390.93886329190667</v>
      </c>
      <c r="F17" s="89">
        <v>390.93886329190667</v>
      </c>
      <c r="G17" s="89"/>
      <c r="H17" s="89"/>
      <c r="I17" s="89"/>
    </row>
    <row r="18" spans="2:37" outlineLevel="1" x14ac:dyDescent="0.25">
      <c r="B18" s="52" t="s">
        <v>289</v>
      </c>
      <c r="C18" s="49" t="s">
        <v>95</v>
      </c>
      <c r="D18" s="136"/>
      <c r="E18" s="89">
        <v>313.64455445544553</v>
      </c>
      <c r="F18" s="89">
        <v>313.64455445544553</v>
      </c>
      <c r="G18" s="89"/>
      <c r="H18" s="89"/>
      <c r="I18" s="89"/>
    </row>
    <row r="19" spans="2:37" outlineLevel="1" x14ac:dyDescent="0.25">
      <c r="B19" s="52" t="s">
        <v>290</v>
      </c>
      <c r="C19" s="49" t="s">
        <v>95</v>
      </c>
      <c r="D19" s="136"/>
      <c r="E19" s="89">
        <v>280</v>
      </c>
      <c r="F19" s="89">
        <v>280</v>
      </c>
      <c r="G19" s="89"/>
      <c r="H19" s="89"/>
      <c r="I19" s="89"/>
    </row>
    <row r="20" spans="2:37" outlineLevel="1" x14ac:dyDescent="0.25">
      <c r="B20" s="52" t="s">
        <v>291</v>
      </c>
      <c r="C20" s="49" t="s">
        <v>95</v>
      </c>
      <c r="D20" s="136"/>
      <c r="E20" s="89">
        <v>230</v>
      </c>
      <c r="F20" s="89">
        <v>230</v>
      </c>
      <c r="G20" s="89"/>
      <c r="H20" s="89"/>
      <c r="I20" s="89"/>
    </row>
    <row r="21" spans="2:37" outlineLevel="1" x14ac:dyDescent="0.25">
      <c r="B21" s="52" t="s">
        <v>307</v>
      </c>
      <c r="C21" s="49" t="s">
        <v>95</v>
      </c>
      <c r="D21" s="136"/>
      <c r="E21" s="89"/>
      <c r="F21" s="89"/>
      <c r="G21" s="89"/>
      <c r="H21" s="89"/>
      <c r="I21" s="89"/>
    </row>
    <row r="22" spans="2:37" outlineLevel="1" x14ac:dyDescent="0.25">
      <c r="B22" s="52" t="s">
        <v>304</v>
      </c>
      <c r="C22" s="49" t="s">
        <v>95</v>
      </c>
      <c r="D22" s="136"/>
      <c r="E22" s="89"/>
      <c r="F22" s="89"/>
      <c r="G22" s="89"/>
      <c r="H22" s="89"/>
      <c r="I22" s="89"/>
    </row>
    <row r="23" spans="2:37" outlineLevel="1" x14ac:dyDescent="0.25">
      <c r="B23" s="52" t="s">
        <v>305</v>
      </c>
      <c r="C23" s="49" t="s">
        <v>95</v>
      </c>
      <c r="D23" s="136"/>
      <c r="E23" s="89"/>
      <c r="F23" s="89"/>
      <c r="G23" s="89"/>
      <c r="H23" s="89"/>
      <c r="I23" s="89"/>
    </row>
    <row r="24" spans="2:37" outlineLevel="1" x14ac:dyDescent="0.25">
      <c r="B24" s="52" t="s">
        <v>306</v>
      </c>
      <c r="C24" s="49" t="s">
        <v>95</v>
      </c>
      <c r="D24" s="136"/>
      <c r="E24" s="89"/>
      <c r="F24" s="89"/>
      <c r="G24" s="89"/>
      <c r="H24" s="89"/>
      <c r="I24" s="89"/>
    </row>
    <row r="25" spans="2:37" outlineLevel="1" x14ac:dyDescent="0.25">
      <c r="B25" s="52" t="s">
        <v>308</v>
      </c>
      <c r="C25" s="49" t="s">
        <v>95</v>
      </c>
      <c r="D25" s="136"/>
      <c r="E25" s="89"/>
      <c r="F25" s="89"/>
      <c r="G25" s="89"/>
      <c r="H25" s="89"/>
      <c r="I25" s="89"/>
    </row>
    <row r="26" spans="2:37" outlineLevel="1" x14ac:dyDescent="0.25">
      <c r="B26" s="52"/>
      <c r="C26" s="49"/>
      <c r="D26" s="136"/>
      <c r="E26" s="89"/>
      <c r="F26" s="89"/>
      <c r="G26" s="89"/>
      <c r="H26" s="89"/>
      <c r="I26" s="89"/>
    </row>
    <row r="27" spans="2:37" outlineLevel="1" x14ac:dyDescent="0.25">
      <c r="B27" s="349" t="s">
        <v>90</v>
      </c>
      <c r="C27" s="350"/>
      <c r="D27" s="350"/>
      <c r="E27" s="350"/>
      <c r="F27" s="350"/>
      <c r="G27" s="350"/>
      <c r="H27" s="350"/>
      <c r="I27" s="397"/>
    </row>
    <row r="29" spans="2:37" ht="15.75" x14ac:dyDescent="0.25">
      <c r="B29" s="352" t="s">
        <v>23</v>
      </c>
      <c r="C29" s="352"/>
      <c r="D29" s="352"/>
      <c r="E29" s="352"/>
      <c r="F29" s="352"/>
      <c r="G29" s="352"/>
      <c r="H29" s="352"/>
      <c r="I29" s="352"/>
    </row>
    <row r="30" spans="2:37" ht="5.45" customHeight="1" outlineLevel="1" x14ac:dyDescent="0.2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2:37" ht="45" outlineLevel="1" x14ac:dyDescent="0.25">
      <c r="B31" s="81"/>
      <c r="C31" s="63" t="s">
        <v>20</v>
      </c>
      <c r="D31" s="103" t="str">
        <f>"Μέσο μοναδιαίο κόστος υποδομής "&amp;($C$3-5)&amp;" - "&amp;(($C$3-1))</f>
        <v>Μέσο μοναδιαίο κόστος υποδομής 2018 - 2022</v>
      </c>
      <c r="E31" s="88">
        <f>$C$3</f>
        <v>2023</v>
      </c>
      <c r="F31" s="88">
        <f>$C$3+1</f>
        <v>2024</v>
      </c>
      <c r="G31" s="88">
        <f>$C$3+2</f>
        <v>2025</v>
      </c>
      <c r="H31" s="88">
        <f>$C$3+3</f>
        <v>2026</v>
      </c>
      <c r="I31" s="88">
        <f>$C$3+4</f>
        <v>2027</v>
      </c>
    </row>
    <row r="32" spans="2:37" outlineLevel="1" x14ac:dyDescent="0.25">
      <c r="B32" s="281" t="s">
        <v>283</v>
      </c>
      <c r="C32" s="49" t="s">
        <v>95</v>
      </c>
      <c r="D32" s="136"/>
      <c r="E32" s="89">
        <v>73.099999999999994</v>
      </c>
      <c r="F32" s="89">
        <v>73.099999999999994</v>
      </c>
      <c r="G32" s="89">
        <v>73.099999999999994</v>
      </c>
      <c r="H32" s="89">
        <v>73.099999999999994</v>
      </c>
      <c r="I32" s="89">
        <v>73.099999999999994</v>
      </c>
    </row>
    <row r="33" spans="2:9" s="55" customFormat="1" outlineLevel="1" x14ac:dyDescent="0.25">
      <c r="B33" s="52" t="s">
        <v>284</v>
      </c>
      <c r="C33" s="49" t="s">
        <v>95</v>
      </c>
      <c r="D33" s="275"/>
      <c r="E33" s="89">
        <v>74.69</v>
      </c>
      <c r="F33" s="89">
        <v>74.69</v>
      </c>
      <c r="G33" s="89">
        <v>74.69</v>
      </c>
      <c r="H33" s="89">
        <v>74.69</v>
      </c>
      <c r="I33" s="89">
        <v>74.69</v>
      </c>
    </row>
    <row r="34" spans="2:9" s="55" customFormat="1" outlineLevel="1" x14ac:dyDescent="0.25">
      <c r="B34" s="52" t="s">
        <v>285</v>
      </c>
      <c r="C34" s="49" t="s">
        <v>95</v>
      </c>
      <c r="D34" s="275"/>
      <c r="E34" s="89">
        <v>74.69</v>
      </c>
      <c r="F34" s="89">
        <v>74.69</v>
      </c>
      <c r="G34" s="89">
        <v>74.69</v>
      </c>
      <c r="H34" s="89">
        <v>74.69</v>
      </c>
      <c r="I34" s="89">
        <v>74.69</v>
      </c>
    </row>
    <row r="35" spans="2:9" outlineLevel="1" x14ac:dyDescent="0.25">
      <c r="B35" s="52" t="s">
        <v>286</v>
      </c>
      <c r="C35" s="49" t="s">
        <v>95</v>
      </c>
      <c r="D35" s="136"/>
      <c r="E35" s="89">
        <v>74.69</v>
      </c>
      <c r="F35" s="89">
        <v>74.69</v>
      </c>
      <c r="G35" s="89">
        <v>74.69</v>
      </c>
      <c r="H35" s="89">
        <v>74.69</v>
      </c>
      <c r="I35" s="89">
        <v>74.69</v>
      </c>
    </row>
    <row r="36" spans="2:9" s="55" customFormat="1" outlineLevel="1" x14ac:dyDescent="0.25">
      <c r="B36" s="52" t="s">
        <v>287</v>
      </c>
      <c r="C36" s="49" t="s">
        <v>95</v>
      </c>
      <c r="D36" s="275"/>
      <c r="E36" s="89">
        <v>74.69</v>
      </c>
      <c r="F36" s="89">
        <v>74.69</v>
      </c>
      <c r="G36" s="89">
        <v>74.69</v>
      </c>
      <c r="H36" s="89">
        <v>74.69</v>
      </c>
      <c r="I36" s="89">
        <v>74.69</v>
      </c>
    </row>
    <row r="37" spans="2:9" outlineLevel="1" x14ac:dyDescent="0.25">
      <c r="B37" s="52" t="s">
        <v>288</v>
      </c>
      <c r="C37" s="49" t="s">
        <v>95</v>
      </c>
      <c r="D37" s="136"/>
      <c r="E37" s="89">
        <v>74.69</v>
      </c>
      <c r="F37" s="89">
        <v>74.69</v>
      </c>
      <c r="G37" s="89">
        <v>74.69</v>
      </c>
      <c r="H37" s="89">
        <v>74.69</v>
      </c>
      <c r="I37" s="89">
        <v>74.69</v>
      </c>
    </row>
    <row r="38" spans="2:9" outlineLevel="1" x14ac:dyDescent="0.25">
      <c r="B38" s="52" t="s">
        <v>289</v>
      </c>
      <c r="C38" s="49" t="s">
        <v>95</v>
      </c>
      <c r="D38" s="137"/>
      <c r="E38" s="89">
        <v>73.099999999999994</v>
      </c>
      <c r="F38" s="89">
        <v>73.099999999999994</v>
      </c>
      <c r="G38" s="89">
        <v>73.099999999999994</v>
      </c>
      <c r="H38" s="89">
        <v>73.099999999999994</v>
      </c>
      <c r="I38" s="89">
        <v>73.099999999999994</v>
      </c>
    </row>
    <row r="39" spans="2:9" outlineLevel="1" x14ac:dyDescent="0.25">
      <c r="B39" s="52" t="s">
        <v>290</v>
      </c>
      <c r="C39" s="49" t="s">
        <v>95</v>
      </c>
      <c r="D39" s="137"/>
      <c r="E39" s="89">
        <v>73.099999999999994</v>
      </c>
      <c r="F39" s="89">
        <v>73.099999999999994</v>
      </c>
      <c r="G39" s="89">
        <v>73.099999999999994</v>
      </c>
      <c r="H39" s="89">
        <v>73.099999999999994</v>
      </c>
      <c r="I39" s="89">
        <v>73.099999999999994</v>
      </c>
    </row>
    <row r="40" spans="2:9" outlineLevel="1" x14ac:dyDescent="0.25">
      <c r="B40" s="52" t="s">
        <v>291</v>
      </c>
      <c r="C40" s="49" t="s">
        <v>95</v>
      </c>
      <c r="D40" s="137"/>
      <c r="E40" s="89">
        <v>71.789818742769</v>
      </c>
      <c r="F40" s="89">
        <v>71.789818742769</v>
      </c>
      <c r="G40" s="89">
        <v>71.789818742769</v>
      </c>
      <c r="H40" s="89">
        <v>71.789818742769</v>
      </c>
      <c r="I40" s="89">
        <v>71.789818742769</v>
      </c>
    </row>
    <row r="41" spans="2:9" outlineLevel="1" x14ac:dyDescent="0.25">
      <c r="B41" s="52" t="s">
        <v>307</v>
      </c>
      <c r="C41" s="49" t="s">
        <v>95</v>
      </c>
      <c r="D41" s="137"/>
      <c r="E41" s="89">
        <v>74.69</v>
      </c>
      <c r="F41" s="89">
        <v>74.69</v>
      </c>
      <c r="G41" s="89">
        <v>74.69</v>
      </c>
      <c r="H41" s="89">
        <v>74.69</v>
      </c>
      <c r="I41" s="89">
        <v>74.69</v>
      </c>
    </row>
    <row r="42" spans="2:9" outlineLevel="1" x14ac:dyDescent="0.25">
      <c r="B42" s="52" t="s">
        <v>304</v>
      </c>
      <c r="C42" s="49" t="s">
        <v>95</v>
      </c>
      <c r="D42" s="137"/>
      <c r="E42" s="89">
        <v>74.69</v>
      </c>
      <c r="F42" s="89">
        <v>74.69</v>
      </c>
      <c r="G42" s="89">
        <v>74.69</v>
      </c>
      <c r="H42" s="89">
        <v>74.69</v>
      </c>
      <c r="I42" s="89">
        <v>74.69</v>
      </c>
    </row>
    <row r="43" spans="2:9" outlineLevel="1" x14ac:dyDescent="0.25">
      <c r="B43" s="52" t="s">
        <v>305</v>
      </c>
      <c r="C43" s="49" t="s">
        <v>95</v>
      </c>
      <c r="D43" s="137"/>
      <c r="E43" s="89">
        <v>74.69</v>
      </c>
      <c r="F43" s="89">
        <v>74.69</v>
      </c>
      <c r="G43" s="89">
        <v>74.69</v>
      </c>
      <c r="H43" s="89">
        <v>74.69</v>
      </c>
      <c r="I43" s="89">
        <v>74.69</v>
      </c>
    </row>
    <row r="44" spans="2:9" outlineLevel="1" x14ac:dyDescent="0.25">
      <c r="B44" s="52" t="s">
        <v>306</v>
      </c>
      <c r="C44" s="49" t="s">
        <v>95</v>
      </c>
      <c r="D44" s="137"/>
      <c r="E44" s="89">
        <v>80</v>
      </c>
      <c r="F44" s="89">
        <v>80</v>
      </c>
      <c r="G44" s="89">
        <v>80</v>
      </c>
      <c r="H44" s="89">
        <v>80</v>
      </c>
      <c r="I44" s="89">
        <v>80</v>
      </c>
    </row>
    <row r="45" spans="2:9" outlineLevel="1" x14ac:dyDescent="0.25">
      <c r="B45" s="52" t="s">
        <v>308</v>
      </c>
      <c r="C45" s="49" t="s">
        <v>95</v>
      </c>
      <c r="D45" s="137"/>
      <c r="E45" s="89">
        <v>80</v>
      </c>
      <c r="F45" s="89">
        <v>80</v>
      </c>
      <c r="G45" s="89">
        <v>80</v>
      </c>
      <c r="H45" s="89">
        <v>80</v>
      </c>
      <c r="I45" s="89">
        <v>80</v>
      </c>
    </row>
    <row r="46" spans="2:9" outlineLevel="1" x14ac:dyDescent="0.25">
      <c r="B46" s="52"/>
      <c r="C46" s="49"/>
      <c r="D46" s="137"/>
      <c r="E46" s="89"/>
      <c r="F46" s="89"/>
      <c r="G46" s="89"/>
      <c r="H46" s="89"/>
      <c r="I46" s="89"/>
    </row>
    <row r="47" spans="2:9" outlineLevel="1" x14ac:dyDescent="0.25">
      <c r="B47" s="349" t="s">
        <v>90</v>
      </c>
      <c r="C47" s="350"/>
      <c r="D47" s="350"/>
      <c r="E47" s="350"/>
      <c r="F47" s="350"/>
      <c r="G47" s="350"/>
      <c r="H47" s="350"/>
      <c r="I47" s="351"/>
    </row>
    <row r="49" spans="2:37" ht="15.75" x14ac:dyDescent="0.25">
      <c r="B49" s="352" t="s">
        <v>165</v>
      </c>
      <c r="C49" s="352"/>
      <c r="D49" s="352"/>
      <c r="E49" s="352"/>
      <c r="F49" s="352"/>
      <c r="G49" s="352"/>
      <c r="H49" s="352"/>
      <c r="I49" s="352"/>
    </row>
    <row r="50" spans="2:37" ht="12.75" customHeight="1" outlineLevel="1" x14ac:dyDescent="0.2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row>
    <row r="51" spans="2:37" ht="45" outlineLevel="1" x14ac:dyDescent="0.25">
      <c r="B51" s="81"/>
      <c r="C51" s="63" t="s">
        <v>20</v>
      </c>
      <c r="D51" s="103" t="str">
        <f>"Μέσο μοναδιαίο κόστος υποδομής "&amp;($C$3-5)&amp;" - "&amp;(($C$3-1))</f>
        <v>Μέσο μοναδιαίο κόστος υποδομής 2018 - 2022</v>
      </c>
      <c r="E51" s="88">
        <f>$C$3</f>
        <v>2023</v>
      </c>
      <c r="F51" s="88">
        <f>$C$3+1</f>
        <v>2024</v>
      </c>
      <c r="G51" s="88">
        <f>$C$3+2</f>
        <v>2025</v>
      </c>
      <c r="H51" s="88">
        <f>$C$3+3</f>
        <v>2026</v>
      </c>
      <c r="I51" s="88">
        <f>$C$3+4</f>
        <v>2027</v>
      </c>
    </row>
    <row r="52" spans="2:37" outlineLevel="1" x14ac:dyDescent="0.25">
      <c r="B52" s="281" t="s">
        <v>283</v>
      </c>
      <c r="C52" s="49" t="s">
        <v>96</v>
      </c>
      <c r="D52" s="136"/>
      <c r="E52" s="89">
        <v>680</v>
      </c>
      <c r="F52" s="89">
        <v>680</v>
      </c>
      <c r="G52" s="89">
        <v>680</v>
      </c>
      <c r="H52" s="89">
        <v>680</v>
      </c>
      <c r="I52" s="89">
        <v>680</v>
      </c>
    </row>
    <row r="53" spans="2:37" s="55" customFormat="1" outlineLevel="1" x14ac:dyDescent="0.25">
      <c r="B53" s="52" t="s">
        <v>284</v>
      </c>
      <c r="C53" s="49" t="s">
        <v>96</v>
      </c>
      <c r="D53" s="275"/>
      <c r="E53" s="89">
        <v>680</v>
      </c>
      <c r="F53" s="89">
        <v>680</v>
      </c>
      <c r="G53" s="89">
        <v>680</v>
      </c>
      <c r="H53" s="89">
        <v>680</v>
      </c>
      <c r="I53" s="89">
        <v>680</v>
      </c>
    </row>
    <row r="54" spans="2:37" s="55" customFormat="1" outlineLevel="1" x14ac:dyDescent="0.25">
      <c r="B54" s="52" t="s">
        <v>285</v>
      </c>
      <c r="C54" s="49" t="s">
        <v>96</v>
      </c>
      <c r="D54" s="275"/>
      <c r="E54" s="89">
        <v>680</v>
      </c>
      <c r="F54" s="89">
        <v>680</v>
      </c>
      <c r="G54" s="89">
        <v>680</v>
      </c>
      <c r="H54" s="89">
        <v>680</v>
      </c>
      <c r="I54" s="89">
        <v>680</v>
      </c>
    </row>
    <row r="55" spans="2:37" outlineLevel="1" x14ac:dyDescent="0.25">
      <c r="B55" s="52" t="s">
        <v>286</v>
      </c>
      <c r="C55" s="49" t="s">
        <v>96</v>
      </c>
      <c r="D55" s="136"/>
      <c r="E55" s="89">
        <v>680</v>
      </c>
      <c r="F55" s="89">
        <v>680</v>
      </c>
      <c r="G55" s="89">
        <v>680</v>
      </c>
      <c r="H55" s="89">
        <v>680</v>
      </c>
      <c r="I55" s="89">
        <v>680</v>
      </c>
    </row>
    <row r="56" spans="2:37" s="55" customFormat="1" outlineLevel="1" x14ac:dyDescent="0.25">
      <c r="B56" s="52" t="s">
        <v>287</v>
      </c>
      <c r="C56" s="49" t="s">
        <v>96</v>
      </c>
      <c r="D56" s="275"/>
      <c r="E56" s="89">
        <v>680</v>
      </c>
      <c r="F56" s="89">
        <v>680</v>
      </c>
      <c r="G56" s="89">
        <v>680</v>
      </c>
      <c r="H56" s="89">
        <v>680</v>
      </c>
      <c r="I56" s="89">
        <v>680</v>
      </c>
    </row>
    <row r="57" spans="2:37" outlineLevel="1" x14ac:dyDescent="0.25">
      <c r="B57" s="52" t="s">
        <v>288</v>
      </c>
      <c r="C57" s="49" t="s">
        <v>96</v>
      </c>
      <c r="D57" s="136"/>
      <c r="E57" s="89">
        <v>680</v>
      </c>
      <c r="F57" s="89">
        <v>680</v>
      </c>
      <c r="G57" s="89">
        <v>680</v>
      </c>
      <c r="H57" s="89">
        <v>680</v>
      </c>
      <c r="I57" s="89">
        <v>680</v>
      </c>
    </row>
    <row r="58" spans="2:37" outlineLevel="1" x14ac:dyDescent="0.25">
      <c r="B58" s="52" t="s">
        <v>289</v>
      </c>
      <c r="C58" s="49" t="s">
        <v>96</v>
      </c>
      <c r="D58" s="137"/>
      <c r="E58" s="89">
        <v>680</v>
      </c>
      <c r="F58" s="89">
        <v>680</v>
      </c>
      <c r="G58" s="89">
        <v>680</v>
      </c>
      <c r="H58" s="89">
        <v>680</v>
      </c>
      <c r="I58" s="89">
        <v>680</v>
      </c>
    </row>
    <row r="59" spans="2:37" outlineLevel="1" x14ac:dyDescent="0.25">
      <c r="B59" s="52" t="s">
        <v>290</v>
      </c>
      <c r="C59" s="49" t="s">
        <v>96</v>
      </c>
      <c r="D59" s="137"/>
      <c r="E59" s="89">
        <v>680</v>
      </c>
      <c r="F59" s="89">
        <v>680</v>
      </c>
      <c r="G59" s="89">
        <v>680</v>
      </c>
      <c r="H59" s="89">
        <v>680</v>
      </c>
      <c r="I59" s="89">
        <v>680</v>
      </c>
    </row>
    <row r="60" spans="2:37" outlineLevel="1" x14ac:dyDescent="0.25">
      <c r="B60" s="52" t="s">
        <v>291</v>
      </c>
      <c r="C60" s="49" t="s">
        <v>96</v>
      </c>
      <c r="D60" s="137"/>
      <c r="E60" s="89">
        <v>680</v>
      </c>
      <c r="F60" s="89">
        <v>680</v>
      </c>
      <c r="G60" s="89">
        <v>680</v>
      </c>
      <c r="H60" s="89">
        <v>680</v>
      </c>
      <c r="I60" s="89">
        <v>680</v>
      </c>
    </row>
    <row r="61" spans="2:37" outlineLevel="1" x14ac:dyDescent="0.25">
      <c r="B61" s="52" t="s">
        <v>307</v>
      </c>
      <c r="C61" s="49" t="s">
        <v>96</v>
      </c>
      <c r="D61" s="137"/>
      <c r="E61" s="89">
        <v>680</v>
      </c>
      <c r="F61" s="89">
        <v>680</v>
      </c>
      <c r="G61" s="89">
        <v>680</v>
      </c>
      <c r="H61" s="89">
        <v>680</v>
      </c>
      <c r="I61" s="89">
        <v>680</v>
      </c>
    </row>
    <row r="62" spans="2:37" outlineLevel="1" x14ac:dyDescent="0.25">
      <c r="B62" s="52" t="s">
        <v>304</v>
      </c>
      <c r="C62" s="49" t="s">
        <v>96</v>
      </c>
      <c r="D62" s="137"/>
      <c r="E62" s="89">
        <v>680</v>
      </c>
      <c r="F62" s="89">
        <v>680</v>
      </c>
      <c r="G62" s="89">
        <v>680</v>
      </c>
      <c r="H62" s="89">
        <v>680</v>
      </c>
      <c r="I62" s="89">
        <v>680</v>
      </c>
    </row>
    <row r="63" spans="2:37" outlineLevel="1" x14ac:dyDescent="0.25">
      <c r="B63" s="52" t="s">
        <v>305</v>
      </c>
      <c r="C63" s="49" t="s">
        <v>96</v>
      </c>
      <c r="D63" s="137"/>
      <c r="E63" s="89">
        <v>680</v>
      </c>
      <c r="F63" s="89">
        <v>680</v>
      </c>
      <c r="G63" s="89">
        <v>680</v>
      </c>
      <c r="H63" s="89">
        <v>680</v>
      </c>
      <c r="I63" s="89">
        <v>680</v>
      </c>
    </row>
    <row r="64" spans="2:37" outlineLevel="1" x14ac:dyDescent="0.25">
      <c r="B64" s="52" t="s">
        <v>306</v>
      </c>
      <c r="C64" s="49" t="s">
        <v>96</v>
      </c>
      <c r="D64" s="137"/>
      <c r="E64" s="89">
        <v>680</v>
      </c>
      <c r="F64" s="89">
        <v>680</v>
      </c>
      <c r="G64" s="89">
        <v>680</v>
      </c>
      <c r="H64" s="89">
        <v>680</v>
      </c>
      <c r="I64" s="89">
        <v>680</v>
      </c>
    </row>
    <row r="65" spans="2:37" outlineLevel="1" x14ac:dyDescent="0.25">
      <c r="B65" s="52" t="s">
        <v>308</v>
      </c>
      <c r="C65" s="49" t="s">
        <v>96</v>
      </c>
      <c r="D65" s="137"/>
      <c r="E65" s="89">
        <v>680</v>
      </c>
      <c r="F65" s="89">
        <v>680</v>
      </c>
      <c r="G65" s="89">
        <v>680</v>
      </c>
      <c r="H65" s="89">
        <v>680</v>
      </c>
      <c r="I65" s="89">
        <v>680</v>
      </c>
    </row>
    <row r="66" spans="2:37" outlineLevel="1" x14ac:dyDescent="0.25">
      <c r="B66" s="52"/>
      <c r="C66" s="49"/>
      <c r="D66" s="137"/>
      <c r="E66" s="89"/>
      <c r="F66" s="89"/>
      <c r="G66" s="89"/>
      <c r="H66" s="89"/>
      <c r="I66" s="89"/>
    </row>
    <row r="67" spans="2:37" outlineLevel="1" x14ac:dyDescent="0.25">
      <c r="B67" s="349" t="s">
        <v>90</v>
      </c>
      <c r="C67" s="350"/>
      <c r="D67" s="350"/>
      <c r="E67" s="350"/>
      <c r="F67" s="350"/>
      <c r="G67" s="350"/>
      <c r="H67" s="350"/>
      <c r="I67" s="397"/>
    </row>
    <row r="69" spans="2:37" ht="15.75" x14ac:dyDescent="0.25">
      <c r="B69" s="352" t="s">
        <v>37</v>
      </c>
      <c r="C69" s="352"/>
      <c r="D69" s="352"/>
      <c r="E69" s="352"/>
      <c r="F69" s="352"/>
      <c r="G69" s="352"/>
      <c r="H69" s="352"/>
      <c r="I69" s="352"/>
    </row>
    <row r="70" spans="2:37" ht="5.45" customHeight="1" outlineLevel="1" x14ac:dyDescent="0.2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row>
    <row r="71" spans="2:37" ht="45" outlineLevel="1" x14ac:dyDescent="0.25">
      <c r="B71" s="81"/>
      <c r="C71" s="63" t="s">
        <v>20</v>
      </c>
      <c r="D71" s="103" t="str">
        <f>"Μέσο μοναδιαίο κόστος υποδομής "&amp;($C$3-5)&amp;" - "&amp;(($C$3-1))</f>
        <v>Μέσο μοναδιαίο κόστος υποδομής 2018 - 2022</v>
      </c>
      <c r="E71" s="88">
        <f>$C$3</f>
        <v>2023</v>
      </c>
      <c r="F71" s="88">
        <f>$C$3+1</f>
        <v>2024</v>
      </c>
      <c r="G71" s="88">
        <f>$C$3+2</f>
        <v>2025</v>
      </c>
      <c r="H71" s="88">
        <f>$C$3+3</f>
        <v>2026</v>
      </c>
      <c r="I71" s="88">
        <f>$C$3+4</f>
        <v>2027</v>
      </c>
    </row>
    <row r="72" spans="2:37" outlineLevel="1" x14ac:dyDescent="0.25">
      <c r="B72" s="281" t="s">
        <v>283</v>
      </c>
      <c r="C72" s="49" t="s">
        <v>96</v>
      </c>
      <c r="D72" s="136"/>
      <c r="E72" s="89">
        <v>253.33333333333331</v>
      </c>
      <c r="F72" s="89">
        <v>253.33333333333331</v>
      </c>
      <c r="G72" s="89">
        <v>253.33333333333331</v>
      </c>
      <c r="H72" s="89">
        <v>253.33333333333331</v>
      </c>
      <c r="I72" s="89">
        <v>253.33333333333331</v>
      </c>
    </row>
    <row r="73" spans="2:37" outlineLevel="1" x14ac:dyDescent="0.25">
      <c r="B73" s="52" t="s">
        <v>284</v>
      </c>
      <c r="C73" s="49" t="s">
        <v>96</v>
      </c>
      <c r="D73" s="136"/>
      <c r="E73" s="89">
        <v>288.6559139784946</v>
      </c>
      <c r="F73" s="89">
        <v>288.6559139784946</v>
      </c>
      <c r="G73" s="89">
        <v>288.6559139784946</v>
      </c>
      <c r="H73" s="89">
        <v>288.6559139784946</v>
      </c>
      <c r="I73" s="89">
        <v>288.6559139784946</v>
      </c>
    </row>
    <row r="74" spans="2:37" outlineLevel="1" x14ac:dyDescent="0.25">
      <c r="B74" s="52" t="s">
        <v>285</v>
      </c>
      <c r="C74" s="49" t="s">
        <v>96</v>
      </c>
      <c r="D74" s="136"/>
      <c r="E74" s="89">
        <v>289.5726495726496</v>
      </c>
      <c r="F74" s="89">
        <v>289.5726495726496</v>
      </c>
      <c r="G74" s="89">
        <v>289.5726495726496</v>
      </c>
      <c r="H74" s="89">
        <v>289.5726495726496</v>
      </c>
      <c r="I74" s="89">
        <v>289.5726495726496</v>
      </c>
    </row>
    <row r="75" spans="2:37" outlineLevel="1" x14ac:dyDescent="0.25">
      <c r="B75" s="52" t="s">
        <v>286</v>
      </c>
      <c r="C75" s="49" t="s">
        <v>96</v>
      </c>
      <c r="D75" s="136"/>
      <c r="E75" s="89">
        <v>303.19634703196346</v>
      </c>
      <c r="F75" s="89">
        <v>303.19634703196346</v>
      </c>
      <c r="G75" s="89">
        <v>303.19634703196346</v>
      </c>
      <c r="H75" s="89">
        <v>303.19634703196346</v>
      </c>
      <c r="I75" s="89">
        <v>303.19634703196346</v>
      </c>
    </row>
    <row r="76" spans="2:37" s="55" customFormat="1" outlineLevel="1" x14ac:dyDescent="0.25">
      <c r="B76" s="52" t="s">
        <v>287</v>
      </c>
      <c r="C76" s="49" t="s">
        <v>96</v>
      </c>
      <c r="D76" s="275"/>
      <c r="E76" s="89">
        <v>307.5756364121018</v>
      </c>
      <c r="F76" s="89">
        <v>307.5756364121018</v>
      </c>
      <c r="G76" s="89">
        <v>307.5756364121018</v>
      </c>
      <c r="H76" s="89">
        <v>307.5756364121018</v>
      </c>
      <c r="I76" s="89">
        <v>307.5756364121018</v>
      </c>
    </row>
    <row r="77" spans="2:37" outlineLevel="1" x14ac:dyDescent="0.25">
      <c r="B77" s="52" t="s">
        <v>288</v>
      </c>
      <c r="C77" s="49" t="s">
        <v>96</v>
      </c>
      <c r="D77" s="136"/>
      <c r="E77" s="89">
        <v>321.77282377919323</v>
      </c>
      <c r="F77" s="89">
        <v>321.77282377919323</v>
      </c>
      <c r="G77" s="89">
        <v>321.77282377919323</v>
      </c>
      <c r="H77" s="89">
        <v>321.77282377919323</v>
      </c>
      <c r="I77" s="89">
        <v>321.77282377919323</v>
      </c>
    </row>
    <row r="78" spans="2:37" outlineLevel="1" x14ac:dyDescent="0.25">
      <c r="B78" s="52" t="s">
        <v>289</v>
      </c>
      <c r="C78" s="49" t="s">
        <v>96</v>
      </c>
      <c r="D78" s="137"/>
      <c r="E78" s="89">
        <v>293.33333333333337</v>
      </c>
      <c r="F78" s="89">
        <v>293.33333333333337</v>
      </c>
      <c r="G78" s="89">
        <v>293.33333333333337</v>
      </c>
      <c r="H78" s="89">
        <v>293.33333333333337</v>
      </c>
      <c r="I78" s="89">
        <v>293.33333333333337</v>
      </c>
    </row>
    <row r="79" spans="2:37" outlineLevel="1" x14ac:dyDescent="0.25">
      <c r="B79" s="52" t="s">
        <v>290</v>
      </c>
      <c r="C79" s="49" t="s">
        <v>96</v>
      </c>
      <c r="D79" s="137"/>
      <c r="E79" s="89">
        <v>293.33333333333331</v>
      </c>
      <c r="F79" s="89">
        <v>293.33333333333331</v>
      </c>
      <c r="G79" s="89">
        <v>293.33333333333331</v>
      </c>
      <c r="H79" s="89">
        <v>293.33333333333331</v>
      </c>
      <c r="I79" s="89">
        <v>293.33333333333331</v>
      </c>
    </row>
    <row r="80" spans="2:37" outlineLevel="1" x14ac:dyDescent="0.25">
      <c r="B80" s="52" t="s">
        <v>291</v>
      </c>
      <c r="C80" s="49" t="s">
        <v>96</v>
      </c>
      <c r="D80" s="137"/>
      <c r="E80" s="89">
        <v>253.33333333333334</v>
      </c>
      <c r="F80" s="89">
        <v>253.33333333333334</v>
      </c>
      <c r="G80" s="89">
        <v>253.33333333333334</v>
      </c>
      <c r="H80" s="89">
        <v>253.33333333333334</v>
      </c>
      <c r="I80" s="89">
        <v>253.33333333333334</v>
      </c>
    </row>
    <row r="81" spans="2:37" outlineLevel="1" x14ac:dyDescent="0.25">
      <c r="B81" s="52" t="s">
        <v>307</v>
      </c>
      <c r="C81" s="49" t="s">
        <v>96</v>
      </c>
      <c r="D81" s="137"/>
      <c r="E81" s="89">
        <v>289.5726495726496</v>
      </c>
      <c r="F81" s="89">
        <v>289.5726495726496</v>
      </c>
      <c r="G81" s="89">
        <v>289.5726495726496</v>
      </c>
      <c r="H81" s="89">
        <v>289.5726495726496</v>
      </c>
      <c r="I81" s="89">
        <v>289.5726495726496</v>
      </c>
    </row>
    <row r="82" spans="2:37" outlineLevel="1" x14ac:dyDescent="0.25">
      <c r="B82" s="52" t="s">
        <v>304</v>
      </c>
      <c r="C82" s="49" t="s">
        <v>96</v>
      </c>
      <c r="D82" s="137"/>
      <c r="E82" s="89">
        <v>289.5726495726496</v>
      </c>
      <c r="F82" s="89">
        <v>289.5726495726496</v>
      </c>
      <c r="G82" s="89">
        <v>289.5726495726496</v>
      </c>
      <c r="H82" s="89">
        <v>289.5726495726496</v>
      </c>
      <c r="I82" s="89">
        <v>289.5726495726496</v>
      </c>
    </row>
    <row r="83" spans="2:37" outlineLevel="1" x14ac:dyDescent="0.25">
      <c r="B83" s="52" t="s">
        <v>305</v>
      </c>
      <c r="C83" s="49" t="s">
        <v>96</v>
      </c>
      <c r="D83" s="137"/>
      <c r="E83" s="89">
        <v>289.5726495726496</v>
      </c>
      <c r="F83" s="89">
        <v>289.5726495726496</v>
      </c>
      <c r="G83" s="89">
        <v>289.5726495726496</v>
      </c>
      <c r="H83" s="89">
        <v>289.5726495726496</v>
      </c>
      <c r="I83" s="89">
        <v>289.5726495726496</v>
      </c>
    </row>
    <row r="84" spans="2:37" outlineLevel="1" x14ac:dyDescent="0.25">
      <c r="B84" s="52" t="s">
        <v>306</v>
      </c>
      <c r="C84" s="49" t="s">
        <v>96</v>
      </c>
      <c r="D84" s="137"/>
      <c r="E84" s="89">
        <v>289.5726495726496</v>
      </c>
      <c r="F84" s="89">
        <v>289.5726495726496</v>
      </c>
      <c r="G84" s="89">
        <v>289.5726495726496</v>
      </c>
      <c r="H84" s="89">
        <v>289.5726495726496</v>
      </c>
      <c r="I84" s="89">
        <v>289.5726495726496</v>
      </c>
    </row>
    <row r="85" spans="2:37" outlineLevel="1" x14ac:dyDescent="0.25">
      <c r="B85" s="52" t="s">
        <v>308</v>
      </c>
      <c r="C85" s="49" t="s">
        <v>96</v>
      </c>
      <c r="D85" s="137"/>
      <c r="E85" s="89">
        <v>289.5726495726496</v>
      </c>
      <c r="F85" s="89">
        <v>289.5726495726496</v>
      </c>
      <c r="G85" s="89">
        <v>289.5726495726496</v>
      </c>
      <c r="H85" s="89">
        <v>289.5726495726496</v>
      </c>
      <c r="I85" s="89">
        <v>289.5726495726496</v>
      </c>
    </row>
    <row r="86" spans="2:37" outlineLevel="1" x14ac:dyDescent="0.25">
      <c r="B86" s="52"/>
      <c r="C86" s="49"/>
      <c r="D86" s="137"/>
      <c r="E86" s="89"/>
      <c r="F86" s="89"/>
      <c r="G86" s="89"/>
      <c r="H86" s="89"/>
      <c r="I86" s="89"/>
    </row>
    <row r="87" spans="2:37" outlineLevel="1" x14ac:dyDescent="0.25">
      <c r="B87" s="349" t="s">
        <v>90</v>
      </c>
      <c r="C87" s="350"/>
      <c r="D87" s="350"/>
      <c r="E87" s="350"/>
      <c r="F87" s="350"/>
      <c r="G87" s="350"/>
      <c r="H87" s="350"/>
      <c r="I87" s="397"/>
    </row>
    <row r="89" spans="2:37" ht="15.75" x14ac:dyDescent="0.25">
      <c r="B89" s="352" t="s">
        <v>228</v>
      </c>
      <c r="C89" s="352"/>
      <c r="D89" s="352"/>
      <c r="E89" s="352"/>
      <c r="F89" s="352"/>
      <c r="G89" s="352"/>
      <c r="H89" s="352"/>
      <c r="I89" s="352"/>
    </row>
    <row r="90" spans="2:37" ht="5.45" customHeight="1" outlineLevel="1" x14ac:dyDescent="0.2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row>
    <row r="91" spans="2:37" ht="45" outlineLevel="1" x14ac:dyDescent="0.25">
      <c r="B91" s="81"/>
      <c r="C91" s="63" t="s">
        <v>20</v>
      </c>
      <c r="D91" s="103" t="str">
        <f>"Μέσο μοναδιαίο κόστος υποδομής "&amp;($C$3-5)&amp;" - "&amp;(($C$3-1))</f>
        <v>Μέσο μοναδιαίο κόστος υποδομής 2018 - 2022</v>
      </c>
      <c r="E91" s="88">
        <f>$C$3</f>
        <v>2023</v>
      </c>
      <c r="F91" s="88">
        <f>$C$3+1</f>
        <v>2024</v>
      </c>
      <c r="G91" s="88">
        <f>$C$3+2</f>
        <v>2025</v>
      </c>
      <c r="H91" s="88">
        <f>$C$3+3</f>
        <v>2026</v>
      </c>
      <c r="I91" s="88">
        <f>$C$3+4</f>
        <v>2027</v>
      </c>
    </row>
    <row r="92" spans="2:37" outlineLevel="1" x14ac:dyDescent="0.25">
      <c r="B92" s="281" t="s">
        <v>283</v>
      </c>
      <c r="C92" s="49" t="s">
        <v>96</v>
      </c>
      <c r="D92" s="136"/>
      <c r="E92" s="89"/>
      <c r="F92" s="89"/>
      <c r="G92" s="89"/>
      <c r="H92" s="89"/>
      <c r="I92" s="89"/>
    </row>
    <row r="93" spans="2:37" s="55" customFormat="1" outlineLevel="1" x14ac:dyDescent="0.25">
      <c r="B93" s="52" t="s">
        <v>284</v>
      </c>
      <c r="C93" s="49" t="s">
        <v>96</v>
      </c>
      <c r="D93" s="275"/>
      <c r="E93" s="89"/>
      <c r="F93" s="89"/>
      <c r="G93" s="89"/>
      <c r="H93" s="89"/>
      <c r="I93" s="89"/>
    </row>
    <row r="94" spans="2:37" s="55" customFormat="1" outlineLevel="1" x14ac:dyDescent="0.25">
      <c r="B94" s="52" t="s">
        <v>285</v>
      </c>
      <c r="C94" s="49" t="s">
        <v>96</v>
      </c>
      <c r="D94" s="275"/>
      <c r="E94" s="89"/>
      <c r="F94" s="89"/>
      <c r="G94" s="89"/>
      <c r="H94" s="89"/>
      <c r="I94" s="89"/>
    </row>
    <row r="95" spans="2:37" outlineLevel="1" x14ac:dyDescent="0.25">
      <c r="B95" s="52" t="s">
        <v>286</v>
      </c>
      <c r="C95" s="49" t="s">
        <v>96</v>
      </c>
      <c r="D95" s="136"/>
      <c r="E95" s="89">
        <v>50000</v>
      </c>
      <c r="F95" s="89">
        <f>E95</f>
        <v>50000</v>
      </c>
      <c r="G95" s="89">
        <f t="shared" ref="G95:I95" si="0">F95</f>
        <v>50000</v>
      </c>
      <c r="H95" s="89">
        <f t="shared" si="0"/>
        <v>50000</v>
      </c>
      <c r="I95" s="89">
        <f t="shared" si="0"/>
        <v>50000</v>
      </c>
    </row>
    <row r="96" spans="2:37" s="55" customFormat="1" outlineLevel="1" x14ac:dyDescent="0.25">
      <c r="B96" s="52" t="s">
        <v>287</v>
      </c>
      <c r="C96" s="49" t="s">
        <v>96</v>
      </c>
      <c r="D96" s="275"/>
      <c r="E96" s="89">
        <f>E95</f>
        <v>50000</v>
      </c>
      <c r="F96" s="89">
        <f t="shared" ref="F96:I96" si="1">E96</f>
        <v>50000</v>
      </c>
      <c r="G96" s="89">
        <f t="shared" si="1"/>
        <v>50000</v>
      </c>
      <c r="H96" s="89">
        <f t="shared" si="1"/>
        <v>50000</v>
      </c>
      <c r="I96" s="89">
        <f t="shared" si="1"/>
        <v>50000</v>
      </c>
    </row>
    <row r="97" spans="2:37" outlineLevel="1" x14ac:dyDescent="0.25">
      <c r="B97" s="52" t="s">
        <v>288</v>
      </c>
      <c r="C97" s="49" t="s">
        <v>96</v>
      </c>
      <c r="D97" s="136"/>
      <c r="E97" s="89">
        <f t="shared" ref="E97:E100" si="2">E96</f>
        <v>50000</v>
      </c>
      <c r="F97" s="89">
        <f t="shared" ref="F97:I97" si="3">E97</f>
        <v>50000</v>
      </c>
      <c r="G97" s="89">
        <f t="shared" si="3"/>
        <v>50000</v>
      </c>
      <c r="H97" s="89">
        <f t="shared" si="3"/>
        <v>50000</v>
      </c>
      <c r="I97" s="89">
        <f t="shared" si="3"/>
        <v>50000</v>
      </c>
    </row>
    <row r="98" spans="2:37" outlineLevel="1" x14ac:dyDescent="0.25">
      <c r="B98" s="52" t="s">
        <v>289</v>
      </c>
      <c r="C98" s="49" t="s">
        <v>96</v>
      </c>
      <c r="D98" s="137"/>
      <c r="E98" s="89">
        <f t="shared" si="2"/>
        <v>50000</v>
      </c>
      <c r="F98" s="89">
        <f t="shared" ref="F98:I98" si="4">E98</f>
        <v>50000</v>
      </c>
      <c r="G98" s="89">
        <f t="shared" si="4"/>
        <v>50000</v>
      </c>
      <c r="H98" s="89">
        <f t="shared" si="4"/>
        <v>50000</v>
      </c>
      <c r="I98" s="89">
        <f t="shared" si="4"/>
        <v>50000</v>
      </c>
    </row>
    <row r="99" spans="2:37" outlineLevel="1" x14ac:dyDescent="0.25">
      <c r="B99" s="52" t="s">
        <v>290</v>
      </c>
      <c r="C99" s="49" t="s">
        <v>96</v>
      </c>
      <c r="D99" s="137"/>
      <c r="E99" s="89">
        <f t="shared" si="2"/>
        <v>50000</v>
      </c>
      <c r="F99" s="89">
        <f t="shared" ref="F99:I99" si="5">E99</f>
        <v>50000</v>
      </c>
      <c r="G99" s="89">
        <f t="shared" si="5"/>
        <v>50000</v>
      </c>
      <c r="H99" s="89">
        <f t="shared" si="5"/>
        <v>50000</v>
      </c>
      <c r="I99" s="89">
        <f t="shared" si="5"/>
        <v>50000</v>
      </c>
    </row>
    <row r="100" spans="2:37" outlineLevel="1" x14ac:dyDescent="0.25">
      <c r="B100" s="52" t="s">
        <v>291</v>
      </c>
      <c r="C100" s="49" t="s">
        <v>96</v>
      </c>
      <c r="D100" s="137"/>
      <c r="E100" s="89">
        <f t="shared" si="2"/>
        <v>50000</v>
      </c>
      <c r="F100" s="89">
        <f t="shared" ref="F100:I100" si="6">E100</f>
        <v>50000</v>
      </c>
      <c r="G100" s="89">
        <f t="shared" si="6"/>
        <v>50000</v>
      </c>
      <c r="H100" s="89">
        <f t="shared" si="6"/>
        <v>50000</v>
      </c>
      <c r="I100" s="89">
        <f t="shared" si="6"/>
        <v>50000</v>
      </c>
    </row>
    <row r="101" spans="2:37" outlineLevel="1" x14ac:dyDescent="0.25">
      <c r="B101" s="52" t="s">
        <v>307</v>
      </c>
      <c r="C101" s="49" t="s">
        <v>96</v>
      </c>
      <c r="D101" s="137"/>
      <c r="E101" s="89"/>
      <c r="F101" s="89"/>
      <c r="G101" s="89"/>
      <c r="H101" s="89"/>
      <c r="I101" s="89"/>
    </row>
    <row r="102" spans="2:37" outlineLevel="1" x14ac:dyDescent="0.25">
      <c r="B102" s="52" t="s">
        <v>304</v>
      </c>
      <c r="C102" s="49" t="s">
        <v>96</v>
      </c>
      <c r="D102" s="137"/>
      <c r="E102" s="89"/>
      <c r="F102" s="89"/>
      <c r="G102" s="89"/>
      <c r="H102" s="89"/>
      <c r="I102" s="89"/>
    </row>
    <row r="103" spans="2:37" outlineLevel="1" x14ac:dyDescent="0.25">
      <c r="B103" s="52" t="s">
        <v>305</v>
      </c>
      <c r="C103" s="49" t="s">
        <v>96</v>
      </c>
      <c r="D103" s="137"/>
      <c r="E103" s="89"/>
      <c r="F103" s="89"/>
      <c r="G103" s="89"/>
      <c r="H103" s="89"/>
      <c r="I103" s="89"/>
    </row>
    <row r="104" spans="2:37" outlineLevel="1" x14ac:dyDescent="0.25">
      <c r="B104" s="52" t="s">
        <v>306</v>
      </c>
      <c r="C104" s="49" t="s">
        <v>96</v>
      </c>
      <c r="D104" s="137"/>
      <c r="E104" s="89"/>
      <c r="F104" s="89"/>
      <c r="G104" s="89"/>
      <c r="H104" s="89"/>
      <c r="I104" s="89"/>
    </row>
    <row r="105" spans="2:37" outlineLevel="1" x14ac:dyDescent="0.25">
      <c r="B105" s="52" t="s">
        <v>308</v>
      </c>
      <c r="C105" s="49" t="s">
        <v>96</v>
      </c>
      <c r="D105" s="137"/>
      <c r="E105" s="89"/>
      <c r="F105" s="89"/>
      <c r="G105" s="89"/>
      <c r="H105" s="89"/>
      <c r="I105" s="89"/>
    </row>
    <row r="106" spans="2:37" outlineLevel="1" x14ac:dyDescent="0.25">
      <c r="B106" s="52"/>
      <c r="C106" s="49"/>
      <c r="D106" s="137"/>
      <c r="E106" s="89"/>
      <c r="F106" s="89"/>
      <c r="G106" s="89"/>
      <c r="H106" s="89"/>
      <c r="I106" s="89"/>
    </row>
    <row r="107" spans="2:37" outlineLevel="1" x14ac:dyDescent="0.25">
      <c r="B107" s="349" t="s">
        <v>90</v>
      </c>
      <c r="C107" s="350"/>
      <c r="D107" s="350"/>
      <c r="E107" s="350"/>
      <c r="F107" s="350"/>
      <c r="G107" s="350"/>
      <c r="H107" s="350"/>
      <c r="I107" s="397"/>
    </row>
    <row r="109" spans="2:37" ht="15.75" x14ac:dyDescent="0.25">
      <c r="B109" s="352" t="s">
        <v>24</v>
      </c>
      <c r="C109" s="352"/>
      <c r="D109" s="352"/>
      <c r="E109" s="352"/>
      <c r="F109" s="352"/>
      <c r="G109" s="352"/>
      <c r="H109" s="352"/>
      <c r="I109" s="352"/>
    </row>
    <row r="110" spans="2:37" ht="5.45" customHeight="1" outlineLevel="1" x14ac:dyDescent="0.2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row>
    <row r="111" spans="2:37" ht="45" outlineLevel="1" x14ac:dyDescent="0.25">
      <c r="B111" s="81"/>
      <c r="C111" s="63" t="s">
        <v>20</v>
      </c>
      <c r="D111" s="103" t="str">
        <f>"Μέσο μοναδιαίο κόστος υποδομής "&amp;($C$3-5)&amp;" - "&amp;(($C$3-1))</f>
        <v>Μέσο μοναδιαίο κόστος υποδομής 2018 - 2022</v>
      </c>
      <c r="E111" s="88">
        <f>$C$3</f>
        <v>2023</v>
      </c>
      <c r="F111" s="88">
        <f>$C$3+1</f>
        <v>2024</v>
      </c>
      <c r="G111" s="88">
        <f>$C$3+2</f>
        <v>2025</v>
      </c>
      <c r="H111" s="88">
        <f>$C$3+3</f>
        <v>2026</v>
      </c>
      <c r="I111" s="88">
        <f>$C$3+4</f>
        <v>2027</v>
      </c>
    </row>
    <row r="112" spans="2:37" outlineLevel="1" x14ac:dyDescent="0.25">
      <c r="B112" s="281" t="s">
        <v>283</v>
      </c>
      <c r="C112" s="49" t="s">
        <v>96</v>
      </c>
      <c r="D112" s="136"/>
      <c r="E112" s="89"/>
      <c r="F112" s="89"/>
      <c r="G112" s="89"/>
      <c r="H112" s="89"/>
      <c r="I112" s="89"/>
    </row>
    <row r="113" spans="2:9" s="55" customFormat="1" outlineLevel="1" x14ac:dyDescent="0.25">
      <c r="B113" s="52" t="s">
        <v>284</v>
      </c>
      <c r="C113" s="49" t="s">
        <v>96</v>
      </c>
      <c r="D113" s="275"/>
      <c r="E113" s="89"/>
      <c r="F113" s="89"/>
      <c r="G113" s="89"/>
      <c r="H113" s="89"/>
      <c r="I113" s="89"/>
    </row>
    <row r="114" spans="2:9" s="55" customFormat="1" outlineLevel="1" x14ac:dyDescent="0.25">
      <c r="B114" s="52" t="s">
        <v>285</v>
      </c>
      <c r="C114" s="49" t="s">
        <v>96</v>
      </c>
      <c r="D114" s="275"/>
      <c r="E114" s="89"/>
      <c r="F114" s="89"/>
      <c r="G114" s="89"/>
      <c r="H114" s="89"/>
      <c r="I114" s="89"/>
    </row>
    <row r="115" spans="2:9" outlineLevel="1" x14ac:dyDescent="0.25">
      <c r="B115" s="52" t="s">
        <v>286</v>
      </c>
      <c r="C115" s="49" t="s">
        <v>96</v>
      </c>
      <c r="D115" s="136"/>
      <c r="E115" s="89"/>
      <c r="F115" s="89"/>
      <c r="G115" s="89"/>
      <c r="H115" s="89"/>
      <c r="I115" s="89"/>
    </row>
    <row r="116" spans="2:9" s="55" customFormat="1" outlineLevel="1" x14ac:dyDescent="0.25">
      <c r="B116" s="52" t="s">
        <v>287</v>
      </c>
      <c r="C116" s="49" t="s">
        <v>96</v>
      </c>
      <c r="D116" s="275"/>
      <c r="E116" s="89"/>
      <c r="F116" s="89"/>
      <c r="G116" s="89"/>
      <c r="H116" s="89"/>
      <c r="I116" s="89"/>
    </row>
    <row r="117" spans="2:9" outlineLevel="1" x14ac:dyDescent="0.25">
      <c r="B117" s="52" t="s">
        <v>288</v>
      </c>
      <c r="C117" s="49" t="s">
        <v>96</v>
      </c>
      <c r="D117" s="136"/>
      <c r="E117" s="89"/>
      <c r="F117" s="89"/>
      <c r="G117" s="89"/>
      <c r="H117" s="89"/>
      <c r="I117" s="89"/>
    </row>
    <row r="118" spans="2:9" outlineLevel="1" x14ac:dyDescent="0.25">
      <c r="B118" s="52" t="s">
        <v>289</v>
      </c>
      <c r="C118" s="49" t="s">
        <v>96</v>
      </c>
      <c r="D118" s="137"/>
      <c r="E118" s="89"/>
      <c r="F118" s="89"/>
      <c r="G118" s="89"/>
      <c r="H118" s="89"/>
      <c r="I118" s="89"/>
    </row>
    <row r="119" spans="2:9" outlineLevel="1" x14ac:dyDescent="0.25">
      <c r="B119" s="52" t="s">
        <v>290</v>
      </c>
      <c r="C119" s="49" t="s">
        <v>96</v>
      </c>
      <c r="D119" s="137"/>
      <c r="E119" s="89"/>
      <c r="F119" s="89"/>
      <c r="G119" s="89"/>
      <c r="H119" s="89"/>
      <c r="I119" s="89"/>
    </row>
    <row r="120" spans="2:9" outlineLevel="1" x14ac:dyDescent="0.25">
      <c r="B120" s="52" t="s">
        <v>291</v>
      </c>
      <c r="C120" s="49" t="s">
        <v>96</v>
      </c>
      <c r="D120" s="137"/>
      <c r="E120" s="89"/>
      <c r="F120" s="89"/>
      <c r="G120" s="89"/>
      <c r="H120" s="89"/>
      <c r="I120" s="89"/>
    </row>
    <row r="121" spans="2:9" outlineLevel="1" x14ac:dyDescent="0.25">
      <c r="B121" s="52" t="s">
        <v>307</v>
      </c>
      <c r="C121" s="49" t="s">
        <v>96</v>
      </c>
      <c r="D121" s="137">
        <v>550000</v>
      </c>
      <c r="E121" s="89"/>
      <c r="F121" s="89"/>
      <c r="G121" s="89"/>
      <c r="H121" s="89"/>
      <c r="I121" s="89"/>
    </row>
    <row r="122" spans="2:9" outlineLevel="1" x14ac:dyDescent="0.25">
      <c r="B122" s="52" t="s">
        <v>304</v>
      </c>
      <c r="C122" s="49" t="s">
        <v>96</v>
      </c>
      <c r="D122" s="137">
        <v>550000</v>
      </c>
      <c r="E122" s="89"/>
      <c r="F122" s="89"/>
      <c r="G122" s="89"/>
      <c r="H122" s="89"/>
      <c r="I122" s="89"/>
    </row>
    <row r="123" spans="2:9" outlineLevel="1" x14ac:dyDescent="0.25">
      <c r="B123" s="52" t="s">
        <v>305</v>
      </c>
      <c r="C123" s="49" t="s">
        <v>96</v>
      </c>
      <c r="D123" s="137">
        <v>550000</v>
      </c>
      <c r="E123" s="89"/>
      <c r="F123" s="89"/>
      <c r="G123" s="89"/>
      <c r="H123" s="89"/>
      <c r="I123" s="89"/>
    </row>
    <row r="124" spans="2:9" outlineLevel="1" x14ac:dyDescent="0.25">
      <c r="B124" s="52" t="s">
        <v>306</v>
      </c>
      <c r="C124" s="49" t="s">
        <v>96</v>
      </c>
      <c r="D124" s="137">
        <v>550000</v>
      </c>
      <c r="E124" s="89"/>
      <c r="F124" s="89"/>
      <c r="G124" s="89"/>
      <c r="H124" s="89"/>
      <c r="I124" s="89"/>
    </row>
    <row r="125" spans="2:9" outlineLevel="1" x14ac:dyDescent="0.25">
      <c r="B125" s="52" t="s">
        <v>308</v>
      </c>
      <c r="C125" s="49" t="s">
        <v>96</v>
      </c>
      <c r="D125" s="137">
        <v>550000</v>
      </c>
      <c r="E125" s="89"/>
      <c r="F125" s="89"/>
      <c r="G125" s="89"/>
      <c r="H125" s="89"/>
      <c r="I125" s="89"/>
    </row>
    <row r="126" spans="2:9" outlineLevel="1" x14ac:dyDescent="0.25">
      <c r="B126" s="52"/>
      <c r="C126" s="49"/>
      <c r="D126" s="137"/>
      <c r="E126" s="89"/>
      <c r="F126" s="89"/>
      <c r="G126" s="89"/>
      <c r="H126" s="89"/>
      <c r="I126" s="89"/>
    </row>
    <row r="127" spans="2:9" outlineLevel="1" x14ac:dyDescent="0.25">
      <c r="B127" s="349" t="s">
        <v>90</v>
      </c>
      <c r="C127" s="350"/>
      <c r="D127" s="350"/>
      <c r="E127" s="350"/>
      <c r="F127" s="350"/>
      <c r="G127" s="350"/>
      <c r="H127" s="350"/>
      <c r="I127" s="397"/>
    </row>
    <row r="129" spans="2:37" ht="15.75" x14ac:dyDescent="0.25">
      <c r="B129" s="352" t="s">
        <v>97</v>
      </c>
      <c r="C129" s="352"/>
      <c r="D129" s="352"/>
      <c r="E129" s="352"/>
      <c r="F129" s="352"/>
      <c r="G129" s="352"/>
      <c r="H129" s="352"/>
      <c r="I129" s="352"/>
    </row>
    <row r="130" spans="2:37" ht="5.45" customHeight="1" outlineLevel="1" x14ac:dyDescent="0.2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row>
    <row r="131" spans="2:37" ht="45" outlineLevel="1" x14ac:dyDescent="0.25">
      <c r="B131" s="81"/>
      <c r="C131" s="63" t="s">
        <v>20</v>
      </c>
      <c r="D131" s="103" t="str">
        <f>"Μέσο μοναδιαίο κόστος υποδομής "&amp;($C$3-5)&amp;" - "&amp;(($C$3-1))</f>
        <v>Μέσο μοναδιαίο κόστος υποδομής 2018 - 2022</v>
      </c>
      <c r="E131" s="88">
        <f>$C$3</f>
        <v>2023</v>
      </c>
      <c r="F131" s="88">
        <f>$C$3+1</f>
        <v>2024</v>
      </c>
      <c r="G131" s="88">
        <f>$C$3+2</f>
        <v>2025</v>
      </c>
      <c r="H131" s="88">
        <f>$C$3+3</f>
        <v>2026</v>
      </c>
      <c r="I131" s="88">
        <f>$C$3+4</f>
        <v>2027</v>
      </c>
    </row>
    <row r="132" spans="2:37" outlineLevel="1" x14ac:dyDescent="0.25">
      <c r="B132" s="281" t="s">
        <v>283</v>
      </c>
      <c r="C132" s="49" t="s">
        <v>96</v>
      </c>
      <c r="D132" s="136"/>
      <c r="E132" s="89"/>
      <c r="F132" s="89"/>
      <c r="G132" s="89"/>
      <c r="H132" s="89"/>
      <c r="I132" s="89"/>
    </row>
    <row r="133" spans="2:37" s="55" customFormat="1" outlineLevel="1" x14ac:dyDescent="0.25">
      <c r="B133" s="52" t="s">
        <v>284</v>
      </c>
      <c r="C133" s="49" t="s">
        <v>96</v>
      </c>
      <c r="D133" s="275"/>
      <c r="E133" s="100"/>
      <c r="F133" s="100"/>
      <c r="G133" s="100"/>
      <c r="H133" s="100"/>
      <c r="I133" s="100"/>
    </row>
    <row r="134" spans="2:37" s="55" customFormat="1" outlineLevel="1" x14ac:dyDescent="0.25">
      <c r="B134" s="52" t="s">
        <v>285</v>
      </c>
      <c r="C134" s="49" t="s">
        <v>96</v>
      </c>
      <c r="D134" s="275"/>
      <c r="E134" s="100"/>
      <c r="F134" s="100"/>
      <c r="G134" s="100"/>
      <c r="H134" s="100"/>
      <c r="I134" s="100"/>
    </row>
    <row r="135" spans="2:37" outlineLevel="1" x14ac:dyDescent="0.25">
      <c r="B135" s="52" t="s">
        <v>286</v>
      </c>
      <c r="C135" s="49" t="s">
        <v>96</v>
      </c>
      <c r="D135" s="136"/>
      <c r="E135" s="89"/>
      <c r="F135" s="89"/>
      <c r="G135" s="89"/>
      <c r="H135" s="89"/>
      <c r="I135" s="89"/>
    </row>
    <row r="136" spans="2:37" s="55" customFormat="1" outlineLevel="1" x14ac:dyDescent="0.25">
      <c r="B136" s="52" t="s">
        <v>287</v>
      </c>
      <c r="C136" s="49" t="s">
        <v>96</v>
      </c>
      <c r="D136" s="275"/>
      <c r="E136" s="100"/>
      <c r="F136" s="100"/>
      <c r="G136" s="100"/>
      <c r="H136" s="100"/>
      <c r="I136" s="100"/>
    </row>
    <row r="137" spans="2:37" outlineLevel="1" x14ac:dyDescent="0.25">
      <c r="B137" s="52" t="s">
        <v>288</v>
      </c>
      <c r="C137" s="49" t="s">
        <v>96</v>
      </c>
      <c r="D137" s="136"/>
      <c r="E137" s="89"/>
      <c r="F137" s="89"/>
      <c r="G137" s="89"/>
      <c r="H137" s="89"/>
      <c r="I137" s="89"/>
    </row>
    <row r="138" spans="2:37" outlineLevel="1" x14ac:dyDescent="0.25">
      <c r="B138" s="52" t="s">
        <v>289</v>
      </c>
      <c r="C138" s="49" t="s">
        <v>96</v>
      </c>
      <c r="D138" s="136"/>
      <c r="E138" s="93"/>
      <c r="F138" s="93"/>
      <c r="G138" s="93"/>
      <c r="H138" s="93"/>
      <c r="I138" s="93"/>
    </row>
    <row r="139" spans="2:37" outlineLevel="1" x14ac:dyDescent="0.25">
      <c r="B139" s="52" t="s">
        <v>290</v>
      </c>
      <c r="C139" s="49" t="s">
        <v>96</v>
      </c>
      <c r="D139" s="136"/>
      <c r="E139" s="93"/>
      <c r="F139" s="93"/>
      <c r="G139" s="93"/>
      <c r="H139" s="93"/>
      <c r="I139" s="93"/>
    </row>
    <row r="140" spans="2:37" outlineLevel="1" x14ac:dyDescent="0.25">
      <c r="B140" s="52" t="s">
        <v>291</v>
      </c>
      <c r="C140" s="49" t="s">
        <v>96</v>
      </c>
      <c r="D140" s="137"/>
      <c r="E140" s="90"/>
      <c r="F140" s="90"/>
      <c r="G140" s="90"/>
      <c r="H140" s="90"/>
      <c r="I140" s="90"/>
    </row>
    <row r="141" spans="2:37" outlineLevel="1" x14ac:dyDescent="0.25">
      <c r="B141" s="52" t="s">
        <v>307</v>
      </c>
      <c r="C141" s="49" t="s">
        <v>96</v>
      </c>
      <c r="D141" s="137"/>
      <c r="E141" s="90"/>
      <c r="F141" s="90"/>
      <c r="G141" s="90"/>
      <c r="H141" s="90"/>
      <c r="I141" s="90"/>
    </row>
    <row r="142" spans="2:37" outlineLevel="1" x14ac:dyDescent="0.25">
      <c r="B142" s="52" t="s">
        <v>304</v>
      </c>
      <c r="C142" s="49" t="s">
        <v>96</v>
      </c>
      <c r="D142" s="137"/>
      <c r="E142" s="90"/>
      <c r="F142" s="90"/>
      <c r="G142" s="90"/>
      <c r="H142" s="90"/>
      <c r="I142" s="90"/>
    </row>
    <row r="143" spans="2:37" outlineLevel="1" x14ac:dyDescent="0.25">
      <c r="B143" s="52" t="s">
        <v>305</v>
      </c>
      <c r="C143" s="49" t="s">
        <v>96</v>
      </c>
      <c r="D143" s="137"/>
      <c r="E143" s="90"/>
      <c r="F143" s="90"/>
      <c r="G143" s="90"/>
      <c r="H143" s="90"/>
      <c r="I143" s="90"/>
    </row>
    <row r="144" spans="2:37" outlineLevel="1" x14ac:dyDescent="0.25">
      <c r="B144" s="52" t="s">
        <v>306</v>
      </c>
      <c r="C144" s="49" t="s">
        <v>96</v>
      </c>
      <c r="D144" s="137"/>
      <c r="E144" s="90"/>
      <c r="F144" s="90"/>
      <c r="G144" s="90"/>
      <c r="H144" s="90"/>
      <c r="I144" s="90"/>
    </row>
    <row r="145" spans="2:37" outlineLevel="1" x14ac:dyDescent="0.25">
      <c r="B145" s="52" t="s">
        <v>308</v>
      </c>
      <c r="C145" s="49" t="s">
        <v>96</v>
      </c>
      <c r="D145" s="137"/>
      <c r="E145" s="90"/>
      <c r="F145" s="90"/>
      <c r="G145" s="90"/>
      <c r="H145" s="90"/>
      <c r="I145" s="90"/>
    </row>
    <row r="146" spans="2:37" outlineLevel="1" x14ac:dyDescent="0.25">
      <c r="B146" s="52"/>
      <c r="C146" s="49"/>
      <c r="D146" s="137"/>
      <c r="E146" s="90"/>
      <c r="F146" s="90"/>
      <c r="G146" s="90"/>
      <c r="H146" s="90"/>
      <c r="I146" s="90"/>
    </row>
    <row r="147" spans="2:37" outlineLevel="1" x14ac:dyDescent="0.25">
      <c r="B147" s="349" t="s">
        <v>90</v>
      </c>
      <c r="C147" s="350"/>
      <c r="D147" s="350"/>
      <c r="E147" s="350"/>
      <c r="F147" s="350"/>
      <c r="G147" s="350"/>
      <c r="H147" s="350"/>
      <c r="I147" s="397"/>
    </row>
    <row r="149" spans="2:37" ht="15.75" x14ac:dyDescent="0.25">
      <c r="B149" s="352" t="s">
        <v>25</v>
      </c>
      <c r="C149" s="352"/>
      <c r="D149" s="352"/>
      <c r="E149" s="352"/>
      <c r="F149" s="352"/>
      <c r="G149" s="352"/>
      <c r="H149" s="352"/>
      <c r="I149" s="352"/>
    </row>
    <row r="150" spans="2:37" ht="5.45" customHeight="1" outlineLevel="1" x14ac:dyDescent="0.2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row>
    <row r="151" spans="2:37" ht="45" outlineLevel="1" x14ac:dyDescent="0.25">
      <c r="B151" s="81"/>
      <c r="C151" s="63" t="s">
        <v>20</v>
      </c>
      <c r="D151" s="103" t="str">
        <f>"Μέσο μοναδιαίο κόστος υποδομής "&amp;($C$3-5)&amp;" - "&amp;(($C$3-1))</f>
        <v>Μέσο μοναδιαίο κόστος υποδομής 2018 - 2022</v>
      </c>
      <c r="E151" s="88">
        <f>$C$3</f>
        <v>2023</v>
      </c>
      <c r="F151" s="88">
        <f>$C$3+1</f>
        <v>2024</v>
      </c>
      <c r="G151" s="88">
        <f>$C$3+2</f>
        <v>2025</v>
      </c>
      <c r="H151" s="88">
        <f>$C$3+3</f>
        <v>2026</v>
      </c>
      <c r="I151" s="88">
        <f>$C$3+4</f>
        <v>2027</v>
      </c>
    </row>
    <row r="152" spans="2:37" outlineLevel="1" x14ac:dyDescent="0.25">
      <c r="B152" s="281" t="s">
        <v>283</v>
      </c>
      <c r="C152" s="49" t="s">
        <v>96</v>
      </c>
      <c r="D152" s="136"/>
      <c r="E152" s="89"/>
      <c r="F152" s="89"/>
      <c r="G152" s="89"/>
      <c r="H152" s="89"/>
      <c r="I152" s="89"/>
    </row>
    <row r="153" spans="2:37" s="55" customFormat="1" outlineLevel="1" x14ac:dyDescent="0.25">
      <c r="B153" s="52" t="s">
        <v>284</v>
      </c>
      <c r="C153" s="49" t="s">
        <v>96</v>
      </c>
      <c r="D153" s="275"/>
      <c r="E153" s="100"/>
      <c r="F153" s="100"/>
      <c r="G153" s="100"/>
      <c r="H153" s="100"/>
      <c r="I153" s="100"/>
    </row>
    <row r="154" spans="2:37" s="55" customFormat="1" outlineLevel="1" x14ac:dyDescent="0.25">
      <c r="B154" s="52" t="s">
        <v>285</v>
      </c>
      <c r="C154" s="49" t="s">
        <v>96</v>
      </c>
      <c r="D154" s="275"/>
      <c r="E154" s="100"/>
      <c r="F154" s="100"/>
      <c r="G154" s="100"/>
      <c r="H154" s="100"/>
      <c r="I154" s="100"/>
    </row>
    <row r="155" spans="2:37" outlineLevel="1" x14ac:dyDescent="0.25">
      <c r="B155" s="52" t="s">
        <v>286</v>
      </c>
      <c r="C155" s="49" t="s">
        <v>96</v>
      </c>
      <c r="D155" s="136"/>
      <c r="E155" s="89"/>
      <c r="F155" s="89"/>
      <c r="G155" s="89"/>
      <c r="H155" s="89"/>
      <c r="I155" s="89"/>
    </row>
    <row r="156" spans="2:37" s="55" customFormat="1" outlineLevel="1" x14ac:dyDescent="0.25">
      <c r="B156" s="52" t="s">
        <v>287</v>
      </c>
      <c r="C156" s="49" t="s">
        <v>96</v>
      </c>
      <c r="D156" s="275"/>
      <c r="E156" s="100"/>
      <c r="F156" s="100"/>
      <c r="G156" s="100"/>
      <c r="H156" s="100"/>
      <c r="I156" s="100"/>
    </row>
    <row r="157" spans="2:37" s="55" customFormat="1" outlineLevel="1" x14ac:dyDescent="0.25">
      <c r="B157" s="52" t="s">
        <v>288</v>
      </c>
      <c r="C157" s="49" t="s">
        <v>96</v>
      </c>
      <c r="D157" s="275"/>
      <c r="E157" s="100"/>
      <c r="F157" s="100"/>
      <c r="G157" s="100"/>
      <c r="H157" s="100"/>
      <c r="I157" s="100"/>
    </row>
    <row r="158" spans="2:37" outlineLevel="1" x14ac:dyDescent="0.25">
      <c r="B158" s="52" t="s">
        <v>289</v>
      </c>
      <c r="C158" s="49" t="s">
        <v>96</v>
      </c>
      <c r="D158" s="136"/>
      <c r="E158" s="89"/>
      <c r="F158" s="89"/>
      <c r="G158" s="89"/>
      <c r="H158" s="89"/>
      <c r="I158" s="89"/>
    </row>
    <row r="159" spans="2:37" outlineLevel="1" x14ac:dyDescent="0.25">
      <c r="B159" s="52" t="s">
        <v>290</v>
      </c>
      <c r="C159" s="49" t="s">
        <v>96</v>
      </c>
      <c r="D159" s="136"/>
      <c r="E159" s="93"/>
      <c r="F159" s="93"/>
      <c r="G159" s="93"/>
      <c r="H159" s="93"/>
      <c r="I159" s="93"/>
    </row>
    <row r="160" spans="2:37" outlineLevel="1" x14ac:dyDescent="0.25">
      <c r="B160" s="52" t="s">
        <v>291</v>
      </c>
      <c r="C160" s="49" t="s">
        <v>96</v>
      </c>
      <c r="D160" s="137"/>
      <c r="E160" s="90"/>
      <c r="F160" s="90"/>
      <c r="G160" s="90"/>
      <c r="H160" s="90"/>
      <c r="I160" s="90"/>
    </row>
    <row r="161" spans="2:9" outlineLevel="1" x14ac:dyDescent="0.25">
      <c r="B161" s="52" t="s">
        <v>307</v>
      </c>
      <c r="C161" s="49" t="s">
        <v>96</v>
      </c>
      <c r="D161" s="137"/>
      <c r="E161" s="90"/>
      <c r="F161" s="90"/>
      <c r="G161" s="90"/>
      <c r="H161" s="90"/>
      <c r="I161" s="90"/>
    </row>
    <row r="162" spans="2:9" outlineLevel="1" x14ac:dyDescent="0.25">
      <c r="B162" s="52" t="s">
        <v>304</v>
      </c>
      <c r="C162" s="49" t="s">
        <v>96</v>
      </c>
      <c r="D162" s="137"/>
      <c r="E162" s="90"/>
      <c r="F162" s="90"/>
      <c r="G162" s="90"/>
      <c r="H162" s="90"/>
      <c r="I162" s="90"/>
    </row>
    <row r="163" spans="2:9" outlineLevel="1" x14ac:dyDescent="0.25">
      <c r="B163" s="52" t="s">
        <v>305</v>
      </c>
      <c r="C163" s="49" t="s">
        <v>96</v>
      </c>
      <c r="D163" s="137"/>
      <c r="E163" s="90"/>
      <c r="F163" s="90"/>
      <c r="G163" s="90"/>
      <c r="H163" s="90"/>
      <c r="I163" s="90"/>
    </row>
    <row r="164" spans="2:9" outlineLevel="1" x14ac:dyDescent="0.25">
      <c r="B164" s="52" t="s">
        <v>306</v>
      </c>
      <c r="C164" s="49" t="s">
        <v>96</v>
      </c>
      <c r="D164" s="137"/>
      <c r="E164" s="90"/>
      <c r="F164" s="90"/>
      <c r="G164" s="90"/>
      <c r="H164" s="90"/>
      <c r="I164" s="90"/>
    </row>
    <row r="165" spans="2:9" outlineLevel="1" x14ac:dyDescent="0.25">
      <c r="B165" s="52" t="s">
        <v>308</v>
      </c>
      <c r="C165" s="49" t="s">
        <v>96</v>
      </c>
      <c r="D165" s="137"/>
      <c r="E165" s="90"/>
      <c r="F165" s="90"/>
      <c r="G165" s="90"/>
      <c r="H165" s="90"/>
      <c r="I165" s="90"/>
    </row>
    <row r="166" spans="2:9" outlineLevel="1" x14ac:dyDescent="0.25">
      <c r="B166" s="52"/>
      <c r="C166" s="49"/>
      <c r="D166" s="137"/>
      <c r="E166" s="90"/>
      <c r="F166" s="90"/>
      <c r="G166" s="90"/>
      <c r="H166" s="90"/>
      <c r="I166" s="90"/>
    </row>
    <row r="167" spans="2:9" outlineLevel="1" x14ac:dyDescent="0.25">
      <c r="B167" s="349" t="s">
        <v>90</v>
      </c>
      <c r="C167" s="350"/>
      <c r="D167" s="350"/>
      <c r="E167" s="350"/>
      <c r="F167" s="350"/>
      <c r="G167" s="350"/>
      <c r="H167" s="350"/>
      <c r="I167" s="397"/>
    </row>
  </sheetData>
  <mergeCells count="19">
    <mergeCell ref="B5:I5"/>
    <mergeCell ref="B49:I49"/>
    <mergeCell ref="B67:I67"/>
    <mergeCell ref="J2:L2"/>
    <mergeCell ref="B149:I149"/>
    <mergeCell ref="B69:I69"/>
    <mergeCell ref="B87:I87"/>
    <mergeCell ref="B89:I89"/>
    <mergeCell ref="B9:I9"/>
    <mergeCell ref="C2:G2"/>
    <mergeCell ref="B27:I27"/>
    <mergeCell ref="B29:I29"/>
    <mergeCell ref="B47:I47"/>
    <mergeCell ref="B167:I167"/>
    <mergeCell ref="B129:I129"/>
    <mergeCell ref="B147:I147"/>
    <mergeCell ref="B107:I107"/>
    <mergeCell ref="B109:I109"/>
    <mergeCell ref="B127:I127"/>
  </mergeCells>
  <hyperlinks>
    <hyperlink ref="J2" location="'Αρχική σελίδα'!A1" display="Πίσω στην αρχική σελίδα" xr:uid="{BCCC15E5-B1DA-4962-BD7B-11D142F2E258}"/>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196"/>
  <sheetViews>
    <sheetView showGridLines="0" topLeftCell="A6" zoomScale="85" zoomScaleNormal="85" workbookViewId="0">
      <selection activeCell="O63" sqref="O63"/>
    </sheetView>
  </sheetViews>
  <sheetFormatPr defaultRowHeight="15" outlineLevelRow="1" x14ac:dyDescent="0.25"/>
  <cols>
    <col min="1" max="1" width="2.85546875" customWidth="1"/>
    <col min="2" max="2" width="28.28515625" customWidth="1"/>
    <col min="3" max="3" width="13.7109375" customWidth="1"/>
    <col min="4" max="4" width="14.140625" customWidth="1"/>
    <col min="5" max="9" width="13.7109375" customWidth="1"/>
    <col min="10" max="10" width="12.140625" bestFit="1" customWidth="1"/>
  </cols>
  <sheetData>
    <row r="2" spans="2:37" ht="18.75" x14ac:dyDescent="0.3">
      <c r="B2" s="1" t="s">
        <v>1</v>
      </c>
      <c r="C2" s="353" t="str">
        <f>'Αρχική σελίδα'!C3</f>
        <v>HENGAS</v>
      </c>
      <c r="D2" s="353"/>
      <c r="E2" s="353"/>
      <c r="F2" s="353"/>
      <c r="G2" s="110"/>
      <c r="H2" s="110"/>
      <c r="J2" s="354" t="s">
        <v>213</v>
      </c>
      <c r="K2" s="354"/>
      <c r="L2" s="354"/>
    </row>
    <row r="3" spans="2:37" ht="18.75" x14ac:dyDescent="0.3">
      <c r="B3" s="2" t="s">
        <v>2</v>
      </c>
      <c r="C3" s="111">
        <f>'Αρχική σελίδα'!C4</f>
        <v>2023</v>
      </c>
      <c r="D3" s="48" t="s">
        <v>0</v>
      </c>
      <c r="E3" s="48">
        <f>C3+4</f>
        <v>2027</v>
      </c>
    </row>
    <row r="4" spans="2:37" ht="14.45" customHeight="1" x14ac:dyDescent="0.3">
      <c r="C4" s="2"/>
      <c r="D4" s="48"/>
    </row>
    <row r="5" spans="2:37" ht="44.45" customHeight="1" x14ac:dyDescent="0.25">
      <c r="B5" s="355" t="s">
        <v>249</v>
      </c>
      <c r="C5" s="355"/>
      <c r="D5" s="355"/>
      <c r="E5" s="355"/>
      <c r="F5" s="355"/>
      <c r="G5" s="355"/>
      <c r="H5" s="355"/>
      <c r="I5" s="355"/>
    </row>
    <row r="6" spans="2:37" x14ac:dyDescent="0.25">
      <c r="B6" s="271"/>
      <c r="C6" s="271"/>
      <c r="D6" s="271"/>
      <c r="E6" s="271"/>
      <c r="F6" s="271"/>
      <c r="G6" s="271"/>
      <c r="H6" s="271"/>
    </row>
    <row r="7" spans="2:37" ht="18.75" x14ac:dyDescent="0.3">
      <c r="B7" s="112" t="s">
        <v>150</v>
      </c>
      <c r="C7" s="113"/>
      <c r="D7" s="113"/>
      <c r="E7" s="113"/>
      <c r="F7" s="113"/>
      <c r="G7" s="110"/>
      <c r="H7" s="110"/>
      <c r="I7" s="110"/>
    </row>
    <row r="8" spans="2:37" ht="18.75" x14ac:dyDescent="0.3">
      <c r="C8" s="2"/>
      <c r="D8" s="48"/>
      <c r="E8" s="48"/>
    </row>
    <row r="9" spans="2:37" ht="15.75" x14ac:dyDescent="0.25">
      <c r="B9" s="352" t="s">
        <v>166</v>
      </c>
      <c r="C9" s="352"/>
      <c r="D9" s="352"/>
      <c r="E9" s="352"/>
      <c r="F9" s="352"/>
      <c r="G9" s="352"/>
      <c r="H9" s="352"/>
      <c r="I9" s="352"/>
    </row>
    <row r="10" spans="2:37"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2:37" outlineLevel="1" x14ac:dyDescent="0.25">
      <c r="B11" s="81"/>
      <c r="C11" s="63" t="s">
        <v>20</v>
      </c>
      <c r="D11" s="88">
        <f>$C$3</f>
        <v>2023</v>
      </c>
      <c r="E11" s="88">
        <f>$C$3+1</f>
        <v>2024</v>
      </c>
      <c r="F11" s="88">
        <f>$C$3+2</f>
        <v>2025</v>
      </c>
      <c r="G11" s="88">
        <f>$C$3+3</f>
        <v>2026</v>
      </c>
      <c r="H11" s="88">
        <f>$C$3+4</f>
        <v>2027</v>
      </c>
      <c r="I11" s="87" t="str">
        <f xml:space="preserve"> D11&amp;" - "&amp;H11</f>
        <v>2023 - 2027</v>
      </c>
    </row>
    <row r="12" spans="2:37" outlineLevel="1" x14ac:dyDescent="0.25">
      <c r="B12" s="281" t="s">
        <v>283</v>
      </c>
      <c r="C12" s="101" t="s">
        <v>47</v>
      </c>
      <c r="D12" s="232">
        <f t="shared" ref="D12:E12" si="0">D33+D54+D75+D96+D117+D138+D180+D159</f>
        <v>179350</v>
      </c>
      <c r="E12" s="232">
        <f t="shared" si="0"/>
        <v>232550</v>
      </c>
      <c r="F12" s="232">
        <f t="shared" ref="F12:H12" si="1">F33+F54+F75+F96+F117+F138+F180+F159</f>
        <v>98000</v>
      </c>
      <c r="G12" s="232">
        <f t="shared" si="1"/>
        <v>28000</v>
      </c>
      <c r="H12" s="232">
        <f t="shared" si="1"/>
        <v>14933.333333333332</v>
      </c>
      <c r="I12" s="206">
        <f>D12+E12+F12+G12+H12</f>
        <v>552833.33333333337</v>
      </c>
    </row>
    <row r="13" spans="2:37" outlineLevel="1" x14ac:dyDescent="0.25">
      <c r="B13" s="52" t="s">
        <v>284</v>
      </c>
      <c r="C13" s="101" t="s">
        <v>47</v>
      </c>
      <c r="D13" s="232">
        <f t="shared" ref="D13:D25" si="2">(D34+D55+D76+D97+D118+D139+D181+D160)</f>
        <v>608347.37628440862</v>
      </c>
      <c r="E13" s="232">
        <f t="shared" ref="E13" si="3">E34+E55+E76+E97+E118+E139+E181+E160</f>
        <v>355600.21505376342</v>
      </c>
      <c r="F13" s="232">
        <f t="shared" ref="F13:H13" si="4">F34+F55+F76+F97+F118+F139+F181+F160</f>
        <v>334289.78494623653</v>
      </c>
      <c r="G13" s="232">
        <f t="shared" si="4"/>
        <v>140558.60215053763</v>
      </c>
      <c r="H13" s="232">
        <f t="shared" si="4"/>
        <v>88251.182795698929</v>
      </c>
      <c r="I13" s="206">
        <f t="shared" ref="I13:I20" si="5">D13+E13+F13+G13+H13</f>
        <v>1527047.1612306451</v>
      </c>
    </row>
    <row r="14" spans="2:37" outlineLevel="1" x14ac:dyDescent="0.25">
      <c r="B14" s="52" t="s">
        <v>285</v>
      </c>
      <c r="C14" s="101" t="s">
        <v>47</v>
      </c>
      <c r="D14" s="232">
        <f t="shared" si="2"/>
        <v>494141.86281035905</v>
      </c>
      <c r="E14" s="232">
        <f t="shared" ref="E14" si="6">E35+E56+E77+E98+E119+E140+E182+E161</f>
        <v>350048.6324786325</v>
      </c>
      <c r="F14" s="232">
        <f t="shared" ref="F14:H14" si="7">F35+F56+F77+F98+F119+F140+F182+F161</f>
        <v>293813.41880341881</v>
      </c>
      <c r="G14" s="232">
        <f t="shared" si="7"/>
        <v>141590.51282051281</v>
      </c>
      <c r="H14" s="232">
        <f t="shared" si="7"/>
        <v>109594.61538461539</v>
      </c>
      <c r="I14" s="206">
        <f t="shared" si="5"/>
        <v>1389189.0422975386</v>
      </c>
    </row>
    <row r="15" spans="2:37" outlineLevel="1" x14ac:dyDescent="0.25">
      <c r="B15" s="52" t="s">
        <v>286</v>
      </c>
      <c r="C15" s="101" t="s">
        <v>47</v>
      </c>
      <c r="D15" s="232">
        <f t="shared" si="2"/>
        <v>4587437.8087853873</v>
      </c>
      <c r="E15" s="232">
        <f t="shared" ref="E15" si="8">E36+E57+E78+E99+E120+E141+E183+E162</f>
        <v>1336938.1735159818</v>
      </c>
      <c r="F15" s="232">
        <f t="shared" ref="F15:H15" si="9">F36+F57+F78+F99+F120+F141+F183+F162</f>
        <v>1005601.0045662101</v>
      </c>
      <c r="G15" s="232">
        <f t="shared" si="9"/>
        <v>446305.29680365295</v>
      </c>
      <c r="H15" s="232">
        <f t="shared" si="9"/>
        <v>298825.84474885842</v>
      </c>
      <c r="I15" s="206">
        <f t="shared" si="5"/>
        <v>7675108.1284200912</v>
      </c>
    </row>
    <row r="16" spans="2:37" outlineLevel="1" x14ac:dyDescent="0.25">
      <c r="B16" s="52" t="s">
        <v>287</v>
      </c>
      <c r="C16" s="101" t="s">
        <v>47</v>
      </c>
      <c r="D16" s="232">
        <f t="shared" si="2"/>
        <v>3492983.1182857146</v>
      </c>
      <c r="E16" s="232">
        <f t="shared" ref="E16" si="10">E37+E58+E79+E100+E121+E142+E184+E163</f>
        <v>1270533.2080501132</v>
      </c>
      <c r="F16" s="232">
        <f t="shared" ref="F16:H16" si="11">F37+F58+F79+F100+F121+F142+F184+F163</f>
        <v>948328.68985739036</v>
      </c>
      <c r="G16" s="232">
        <f t="shared" si="11"/>
        <v>839695.36985205917</v>
      </c>
      <c r="H16" s="232">
        <f t="shared" si="11"/>
        <v>497994.19965347194</v>
      </c>
      <c r="I16" s="206">
        <f t="shared" si="5"/>
        <v>7049534.5856987499</v>
      </c>
    </row>
    <row r="17" spans="2:37" outlineLevel="1" x14ac:dyDescent="0.25">
      <c r="B17" s="52" t="s">
        <v>288</v>
      </c>
      <c r="C17" s="101" t="s">
        <v>47</v>
      </c>
      <c r="D17" s="232">
        <f t="shared" si="2"/>
        <v>2224002.3933300097</v>
      </c>
      <c r="E17" s="232">
        <f t="shared" ref="E17" si="12">E38+E59+E80+E101+E122+E143+E185+E164</f>
        <v>520035.9447983015</v>
      </c>
      <c r="F17" s="232">
        <f t="shared" ref="F17:H17" si="13">F38+F59+F80+F101+F122+F143+F185+F164</f>
        <v>530169.52229299361</v>
      </c>
      <c r="G17" s="232">
        <f t="shared" si="13"/>
        <v>203475.73248407643</v>
      </c>
      <c r="H17" s="232">
        <f t="shared" si="13"/>
        <v>176427.8662420382</v>
      </c>
      <c r="I17" s="206">
        <f t="shared" si="5"/>
        <v>3654111.4591474193</v>
      </c>
    </row>
    <row r="18" spans="2:37" outlineLevel="1" x14ac:dyDescent="0.25">
      <c r="B18" s="52" t="s">
        <v>289</v>
      </c>
      <c r="C18" s="101" t="s">
        <v>47</v>
      </c>
      <c r="D18" s="232">
        <f t="shared" si="2"/>
        <v>3689057.0749653466</v>
      </c>
      <c r="E18" s="232">
        <f t="shared" ref="E18" si="14">E39+E60+E81+E102+E123+E144+E186+E165</f>
        <v>1932373.3333333335</v>
      </c>
      <c r="F18" s="232">
        <f t="shared" ref="F18:H18" si="15">F39+F60+F81+F102+F123+F144+F186+F165</f>
        <v>1218813.3333333335</v>
      </c>
      <c r="G18" s="232">
        <f t="shared" si="15"/>
        <v>1190586.6666666667</v>
      </c>
      <c r="H18" s="232">
        <f t="shared" si="15"/>
        <v>668880</v>
      </c>
      <c r="I18" s="206">
        <f t="shared" si="5"/>
        <v>8699710.4082986824</v>
      </c>
    </row>
    <row r="19" spans="2:37" outlineLevel="1" x14ac:dyDescent="0.25">
      <c r="B19" s="52" t="s">
        <v>290</v>
      </c>
      <c r="C19" s="101" t="s">
        <v>47</v>
      </c>
      <c r="D19" s="232">
        <f t="shared" si="2"/>
        <v>3768883.54</v>
      </c>
      <c r="E19" s="232">
        <f t="shared" ref="E19" si="16">E40+E61+E82+E103+E124+E145+E187+E166</f>
        <v>1770800</v>
      </c>
      <c r="F19" s="232">
        <f t="shared" ref="F19:H19" si="17">F40+F61+F82+F103+F124+F145+F187+F166</f>
        <v>1387200</v>
      </c>
      <c r="G19" s="232">
        <f t="shared" si="17"/>
        <v>1192533.3333333333</v>
      </c>
      <c r="H19" s="232">
        <f t="shared" si="17"/>
        <v>668880</v>
      </c>
      <c r="I19" s="206">
        <f t="shared" si="5"/>
        <v>8788296.8733333331</v>
      </c>
    </row>
    <row r="20" spans="2:37" outlineLevel="1" x14ac:dyDescent="0.25">
      <c r="B20" s="52" t="s">
        <v>291</v>
      </c>
      <c r="C20" s="101" t="s">
        <v>47</v>
      </c>
      <c r="D20" s="232">
        <f t="shared" si="2"/>
        <v>416339.97817200155</v>
      </c>
      <c r="E20" s="232">
        <f t="shared" ref="E20:H25" si="18">E41+E62+E83+E104+E125+E146+E188+E167</f>
        <v>185333.33333333334</v>
      </c>
      <c r="F20" s="232">
        <f t="shared" ref="F20:H20" si="19">F41+F62+F83+F104+F125+F146+F188+F167</f>
        <v>31733.333333333336</v>
      </c>
      <c r="G20" s="232">
        <f t="shared" si="19"/>
        <v>28000</v>
      </c>
      <c r="H20" s="232">
        <f t="shared" si="19"/>
        <v>18666.666666666668</v>
      </c>
      <c r="I20" s="206">
        <f t="shared" si="5"/>
        <v>680073.31150533492</v>
      </c>
    </row>
    <row r="21" spans="2:37" outlineLevel="1" x14ac:dyDescent="0.25">
      <c r="B21" s="52" t="s">
        <v>307</v>
      </c>
      <c r="C21" s="101" t="s">
        <v>47</v>
      </c>
      <c r="D21" s="232">
        <f t="shared" si="2"/>
        <v>729728.46188888885</v>
      </c>
      <c r="E21" s="232">
        <f t="shared" si="18"/>
        <v>352554.82905982906</v>
      </c>
      <c r="F21" s="232">
        <f t="shared" si="18"/>
        <v>321996.83760683762</v>
      </c>
      <c r="G21" s="232">
        <f t="shared" si="18"/>
        <v>132864.35897435897</v>
      </c>
      <c r="H21" s="232">
        <f t="shared" si="18"/>
        <v>122199.05982905983</v>
      </c>
      <c r="I21" s="206">
        <f t="shared" ref="I21:I25" si="20">D21+E21+F21+G21+H21</f>
        <v>1659343.5473589741</v>
      </c>
    </row>
    <row r="22" spans="2:37" outlineLevel="1" x14ac:dyDescent="0.25">
      <c r="B22" s="52" t="s">
        <v>304</v>
      </c>
      <c r="C22" s="101" t="s">
        <v>47</v>
      </c>
      <c r="D22" s="232">
        <f t="shared" si="2"/>
        <v>1230194.9076410257</v>
      </c>
      <c r="E22" s="232">
        <f t="shared" si="18"/>
        <v>539279.829059829</v>
      </c>
      <c r="F22" s="232">
        <f t="shared" si="18"/>
        <v>369505.89743589744</v>
      </c>
      <c r="G22" s="232">
        <f t="shared" si="18"/>
        <v>291940.0854700855</v>
      </c>
      <c r="H22" s="232">
        <f t="shared" si="18"/>
        <v>271579.05982905981</v>
      </c>
      <c r="I22" s="206">
        <f t="shared" si="20"/>
        <v>2702499.7794358977</v>
      </c>
    </row>
    <row r="23" spans="2:37" outlineLevel="1" x14ac:dyDescent="0.25">
      <c r="B23" s="52" t="s">
        <v>305</v>
      </c>
      <c r="C23" s="101" t="s">
        <v>47</v>
      </c>
      <c r="D23" s="232">
        <f t="shared" si="2"/>
        <v>1273659.1744358975</v>
      </c>
      <c r="E23" s="232">
        <f t="shared" ref="E23:H23" si="21">E44+E65+E86+E107+E128+E149+E191+E170</f>
        <v>464589.82905982906</v>
      </c>
      <c r="F23" s="232">
        <f t="shared" si="21"/>
        <v>275424.44444444444</v>
      </c>
      <c r="G23" s="232">
        <f t="shared" si="21"/>
        <v>207554.35897435897</v>
      </c>
      <c r="H23" s="232">
        <f t="shared" si="21"/>
        <v>122199.05982905983</v>
      </c>
      <c r="I23" s="206">
        <f t="shared" si="20"/>
        <v>2343426.8667435898</v>
      </c>
    </row>
    <row r="24" spans="2:37" outlineLevel="1" x14ac:dyDescent="0.25">
      <c r="B24" s="52" t="s">
        <v>306</v>
      </c>
      <c r="C24" s="101" t="s">
        <v>47</v>
      </c>
      <c r="D24" s="232">
        <f t="shared" si="2"/>
        <v>687033.11723076925</v>
      </c>
      <c r="E24" s="232">
        <f t="shared" si="18"/>
        <v>409675.21367521369</v>
      </c>
      <c r="F24" s="232">
        <f t="shared" si="18"/>
        <v>356823.24786324787</v>
      </c>
      <c r="G24" s="232">
        <f t="shared" si="18"/>
        <v>298401.3675213675</v>
      </c>
      <c r="H24" s="232">
        <f t="shared" si="18"/>
        <v>196348.71794871794</v>
      </c>
      <c r="I24" s="206">
        <f t="shared" si="20"/>
        <v>1948281.6642393162</v>
      </c>
    </row>
    <row r="25" spans="2:37" outlineLevel="1" x14ac:dyDescent="0.25">
      <c r="B25" s="52" t="s">
        <v>308</v>
      </c>
      <c r="C25" s="101" t="s">
        <v>47</v>
      </c>
      <c r="D25" s="232">
        <f t="shared" si="2"/>
        <v>664163.48314529913</v>
      </c>
      <c r="E25" s="232">
        <f t="shared" si="18"/>
        <v>399009.9145299145</v>
      </c>
      <c r="F25" s="232">
        <f t="shared" si="18"/>
        <v>378401.3675213675</v>
      </c>
      <c r="G25" s="232">
        <f t="shared" si="18"/>
        <v>307375.04273504275</v>
      </c>
      <c r="H25" s="232">
        <f t="shared" si="18"/>
        <v>196348.71794871794</v>
      </c>
      <c r="I25" s="206">
        <f t="shared" si="20"/>
        <v>1945298.5258803419</v>
      </c>
    </row>
    <row r="26" spans="2:37" outlineLevel="1" x14ac:dyDescent="0.25">
      <c r="B26" s="52"/>
      <c r="C26" s="101"/>
      <c r="D26" s="232"/>
      <c r="E26" s="232"/>
      <c r="F26" s="232"/>
      <c r="G26" s="232"/>
      <c r="H26" s="232"/>
      <c r="I26" s="206"/>
    </row>
    <row r="27" spans="2:37" outlineLevel="1" x14ac:dyDescent="0.25">
      <c r="B27" s="349" t="s">
        <v>90</v>
      </c>
      <c r="C27" s="350"/>
      <c r="D27" s="350"/>
      <c r="E27" s="350"/>
      <c r="F27" s="350"/>
      <c r="G27" s="350"/>
      <c r="H27" s="350"/>
      <c r="I27" s="351"/>
    </row>
    <row r="28" spans="2:37" outlineLevel="1" x14ac:dyDescent="0.25">
      <c r="B28" s="52" t="s">
        <v>84</v>
      </c>
      <c r="C28" s="101" t="s">
        <v>47</v>
      </c>
      <c r="D28" s="233">
        <f t="shared" ref="D28:I28" si="22">SUM(D12:D26)</f>
        <v>24045322.29697511</v>
      </c>
      <c r="E28" s="233">
        <f t="shared" si="22"/>
        <v>10119322.455948075</v>
      </c>
      <c r="F28" s="233">
        <f t="shared" si="22"/>
        <v>7550100.8820047099</v>
      </c>
      <c r="G28" s="233">
        <f t="shared" si="22"/>
        <v>5448880.727786052</v>
      </c>
      <c r="H28" s="233">
        <f t="shared" si="22"/>
        <v>3451128.3242092985</v>
      </c>
      <c r="I28" s="207">
        <f t="shared" si="22"/>
        <v>50614754.686923243</v>
      </c>
      <c r="J28" s="40"/>
    </row>
    <row r="29" spans="2:37" x14ac:dyDescent="0.25">
      <c r="I29" s="40"/>
    </row>
    <row r="30" spans="2:37" ht="15.75" x14ac:dyDescent="0.25">
      <c r="B30" s="352" t="s">
        <v>3</v>
      </c>
      <c r="C30" s="352"/>
      <c r="D30" s="352"/>
      <c r="E30" s="352"/>
      <c r="F30" s="352"/>
      <c r="G30" s="352"/>
      <c r="H30" s="352"/>
      <c r="I30" s="352"/>
    </row>
    <row r="31" spans="2:37" ht="5.45" customHeight="1" outlineLevel="1" x14ac:dyDescent="0.2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row>
    <row r="32" spans="2:37" outlineLevel="1" x14ac:dyDescent="0.25">
      <c r="B32" s="81"/>
      <c r="C32" s="63" t="s">
        <v>20</v>
      </c>
      <c r="D32" s="88">
        <f>$C$3</f>
        <v>2023</v>
      </c>
      <c r="E32" s="88">
        <f>$C$3+1</f>
        <v>2024</v>
      </c>
      <c r="F32" s="88">
        <f>$C$3+2</f>
        <v>2025</v>
      </c>
      <c r="G32" s="88">
        <f>$C$3+3</f>
        <v>2026</v>
      </c>
      <c r="H32" s="88">
        <f>$C$3+4</f>
        <v>2027</v>
      </c>
      <c r="I32" s="87" t="str">
        <f xml:space="preserve"> D32&amp;" - "&amp;H32</f>
        <v>2023 - 2027</v>
      </c>
    </row>
    <row r="33" spans="2:9" outlineLevel="1" x14ac:dyDescent="0.25">
      <c r="B33" s="281" t="s">
        <v>283</v>
      </c>
      <c r="C33" s="101" t="s">
        <v>47</v>
      </c>
      <c r="D33" s="232">
        <f>'Ανάπτυξη δικτύου'!X14*'Παραδοχές μοναδιαίου κόστους'!E12</f>
        <v>0</v>
      </c>
      <c r="E33" s="232">
        <f>'Παραδοχές μοναδιαίου κόστους'!F12*'Ανάπτυξη δικτύου'!AA14</f>
        <v>0</v>
      </c>
      <c r="F33" s="232">
        <f>'Παραδοχές μοναδιαίου κόστους'!G12*'Ανάπτυξη δικτύου'!AD14</f>
        <v>0</v>
      </c>
      <c r="G33" s="232">
        <f>'Παραδοχές μοναδιαίου κόστους'!H12*'Ανάπτυξη δικτύου'!AG14</f>
        <v>0</v>
      </c>
      <c r="H33" s="232">
        <f>'Παραδοχές μοναδιαίου κόστους'!I12*'Ανάπτυξη δικτύου'!AJ14</f>
        <v>0</v>
      </c>
      <c r="I33" s="206">
        <f>D33+E33+F33+G33+H33</f>
        <v>0</v>
      </c>
    </row>
    <row r="34" spans="2:9" outlineLevel="1" x14ac:dyDescent="0.25">
      <c r="B34" s="52" t="s">
        <v>284</v>
      </c>
      <c r="C34" s="101" t="s">
        <v>47</v>
      </c>
      <c r="D34" s="232">
        <f>'Ανάπτυξη δικτύου'!X15*'Παραδοχές μοναδιαίου κόστους'!E13</f>
        <v>0</v>
      </c>
      <c r="E34" s="232">
        <f>'Παραδοχές μοναδιαίου κόστους'!F13*'Ανάπτυξη δικτύου'!AA15</f>
        <v>0</v>
      </c>
      <c r="F34" s="232">
        <f>'Παραδοχές μοναδιαίου κόστους'!G15*'Ανάπτυξη δικτύου'!AD15</f>
        <v>0</v>
      </c>
      <c r="G34" s="232">
        <f>'Παραδοχές μοναδιαίου κόστους'!H15*'Ανάπτυξη δικτύου'!AG15</f>
        <v>0</v>
      </c>
      <c r="H34" s="232">
        <f>'Παραδοχές μοναδιαίου κόστους'!I15*'Ανάπτυξη δικτύου'!AJ15</f>
        <v>0</v>
      </c>
      <c r="I34" s="206">
        <f t="shared" ref="I34:I36" si="23">D34+E34+F34+G34+H34</f>
        <v>0</v>
      </c>
    </row>
    <row r="35" spans="2:9" outlineLevel="1" x14ac:dyDescent="0.25">
      <c r="B35" s="52" t="s">
        <v>285</v>
      </c>
      <c r="C35" s="101" t="s">
        <v>47</v>
      </c>
      <c r="D35" s="232">
        <f>'Ανάπτυξη δικτύου'!X16*'Παραδοχές μοναδιαίου κόστους'!E14</f>
        <v>0</v>
      </c>
      <c r="E35" s="232">
        <f>'Παραδοχές μοναδιαίου κόστους'!F14*'Ανάπτυξη δικτύου'!AA16</f>
        <v>0</v>
      </c>
      <c r="F35" s="232">
        <f>'Παραδοχές μοναδιαίου κόστους'!G17*'Ανάπτυξη δικτύου'!AD16</f>
        <v>0</v>
      </c>
      <c r="G35" s="232">
        <f>'Παραδοχές μοναδιαίου κόστους'!H17*'Ανάπτυξη δικτύου'!AG16</f>
        <v>0</v>
      </c>
      <c r="H35" s="232">
        <f>'Παραδοχές μοναδιαίου κόστους'!I17*'Ανάπτυξη δικτύου'!AJ16</f>
        <v>0</v>
      </c>
      <c r="I35" s="206">
        <f t="shared" si="23"/>
        <v>0</v>
      </c>
    </row>
    <row r="36" spans="2:9" outlineLevel="1" x14ac:dyDescent="0.25">
      <c r="B36" s="52" t="s">
        <v>286</v>
      </c>
      <c r="C36" s="101" t="s">
        <v>47</v>
      </c>
      <c r="D36" s="232">
        <f>'Ανάπτυξη δικτύου'!X17*'Παραδοχές μοναδιαίου κόστους'!E15*0.5854</f>
        <v>2403634.8379999991</v>
      </c>
      <c r="E36" s="232">
        <f>'Παραδοχές μοναδιαίου κόστους'!F15*'Ανάπτυξη δικτύου'!AA17</f>
        <v>0</v>
      </c>
      <c r="F36" s="232">
        <f>'Παραδοχές μοναδιαίου κόστους'!G20*'Ανάπτυξη δικτύου'!AD22</f>
        <v>0</v>
      </c>
      <c r="G36" s="232">
        <f>'Παραδοχές μοναδιαίου κόστους'!H20*'Ανάπτυξη δικτύου'!AG22</f>
        <v>0</v>
      </c>
      <c r="H36" s="232">
        <f>'Παραδοχές μοναδιαίου κόστους'!I20*'Ανάπτυξη δικτύου'!AJ22</f>
        <v>0</v>
      </c>
      <c r="I36" s="206">
        <f t="shared" si="23"/>
        <v>2403634.8379999991</v>
      </c>
    </row>
    <row r="37" spans="2:9" outlineLevel="1" x14ac:dyDescent="0.25">
      <c r="B37" s="52" t="s">
        <v>287</v>
      </c>
      <c r="C37" s="101" t="s">
        <v>47</v>
      </c>
      <c r="D37" s="232">
        <f>'Ανάπτυξη δικτύου'!X18*'Παραδοχές μοναδιαίου κόστους'!E16*0.5854</f>
        <v>1496154.4482857145</v>
      </c>
      <c r="E37" s="232">
        <f>'Παραδοχές μοναδιαίου κόστους'!F16*'Ανάπτυξη δικτύου'!AA18</f>
        <v>0</v>
      </c>
      <c r="F37" s="232">
        <f>'Παραδοχές μοναδιαίου κόστους'!G27*'Ανάπτυξη δικτύου'!AD29</f>
        <v>0</v>
      </c>
      <c r="G37" s="232">
        <f>'Παραδοχές μοναδιαίου κόστους'!H27*'Ανάπτυξη δικτύου'!AG29</f>
        <v>0</v>
      </c>
      <c r="H37" s="232">
        <f>'Παραδοχές μοναδιαίου κόστους'!I27*'Ανάπτυξη δικτύου'!AJ29</f>
        <v>0</v>
      </c>
      <c r="I37" s="206">
        <f t="shared" ref="I37" si="24">D37+E37+F37+G37+H37</f>
        <v>1496154.4482857145</v>
      </c>
    </row>
    <row r="38" spans="2:9" outlineLevel="1" x14ac:dyDescent="0.25">
      <c r="B38" s="52" t="s">
        <v>288</v>
      </c>
      <c r="C38" s="101" t="s">
        <v>47</v>
      </c>
      <c r="D38" s="232">
        <f>'Ανάπτυξη δικτύου'!X19*'Παραδοχές μοναδιαίου κόστους'!E17*0.5854</f>
        <v>1212477.0248055933</v>
      </c>
      <c r="E38" s="232">
        <f>'Παραδοχές μοναδιαίου κόστους'!F17*'Ανάπτυξη δικτύου'!AA19</f>
        <v>0</v>
      </c>
      <c r="F38" s="232">
        <f>'Παραδοχές μοναδιαίου κόστους'!G28*'Ανάπτυξη δικτύου'!AD30</f>
        <v>0</v>
      </c>
      <c r="G38" s="232">
        <f>'Παραδοχές μοναδιαίου κόστους'!H28*'Ανάπτυξη δικτύου'!AG30</f>
        <v>0</v>
      </c>
      <c r="H38" s="232">
        <f>'Παραδοχές μοναδιαίου κόστους'!I28*'Ανάπτυξη δικτύου'!AJ30</f>
        <v>0</v>
      </c>
      <c r="I38" s="206">
        <f t="shared" ref="I38:I39" si="25">D38+E38+F38+G38+H38</f>
        <v>1212477.0248055933</v>
      </c>
    </row>
    <row r="39" spans="2:9" outlineLevel="1" x14ac:dyDescent="0.25">
      <c r="B39" s="52" t="s">
        <v>289</v>
      </c>
      <c r="C39" s="101" t="s">
        <v>47</v>
      </c>
      <c r="D39" s="232">
        <f>'Ανάπτυξη δικτύου'!X20*'Παραδοχές μοναδιαίου κόστους'!E18*0.6387</f>
        <v>1111802.5119653465</v>
      </c>
      <c r="E39" s="232">
        <f>'Παραδοχές μοναδιαίου κόστους'!F18*'Ανάπτυξη δικτύου'!AA20</f>
        <v>0</v>
      </c>
      <c r="F39" s="232">
        <f>'Παραδοχές μοναδιαίου κόστους'!G29*'Ανάπτυξη δικτύου'!AD31</f>
        <v>0</v>
      </c>
      <c r="G39" s="232">
        <f>'Παραδοχές μοναδιαίου κόστους'!H29*'Ανάπτυξη δικτύου'!AG31</f>
        <v>0</v>
      </c>
      <c r="H39" s="232">
        <f>'Παραδοχές μοναδιαίου κόστους'!I29*'Ανάπτυξη δικτύου'!AJ31</f>
        <v>0</v>
      </c>
      <c r="I39" s="206">
        <f t="shared" si="25"/>
        <v>1111802.5119653465</v>
      </c>
    </row>
    <row r="40" spans="2:9" outlineLevel="1" x14ac:dyDescent="0.25">
      <c r="B40" s="52" t="s">
        <v>290</v>
      </c>
      <c r="C40" s="101" t="s">
        <v>47</v>
      </c>
      <c r="D40" s="232">
        <f>'Ανάπτυξη δικτύου'!X21*'Παραδοχές μοναδιαίου κόστους'!E19*0.6387</f>
        <v>1073016</v>
      </c>
      <c r="E40" s="232">
        <f>'Παραδοχές μοναδιαίου κόστους'!F19*'Ανάπτυξη δικτύου'!AA21</f>
        <v>0</v>
      </c>
      <c r="F40" s="232">
        <f>'Παραδοχές μοναδιαίου κόστους'!G30*'Ανάπτυξη δικτύου'!AD32</f>
        <v>0</v>
      </c>
      <c r="G40" s="232">
        <f>'Παραδοχές μοναδιαίου κόστους'!H30*'Ανάπτυξη δικτύου'!AG32</f>
        <v>0</v>
      </c>
      <c r="H40" s="232">
        <f>'Παραδοχές μοναδιαίου κόστους'!I30*'Ανάπτυξη δικτύου'!AJ32</f>
        <v>0</v>
      </c>
      <c r="I40" s="206">
        <f t="shared" ref="I40" si="26">D40+E40+F40+G40+H40</f>
        <v>1073016</v>
      </c>
    </row>
    <row r="41" spans="2:9" outlineLevel="1" x14ac:dyDescent="0.25">
      <c r="B41" s="52" t="s">
        <v>291</v>
      </c>
      <c r="C41" s="101" t="s">
        <v>47</v>
      </c>
      <c r="D41" s="232">
        <f>'Ανάπτυξη δικτύου'!X22*'Παραδοχές μοναδιαίου κόστους'!E20*0.5854</f>
        <v>0</v>
      </c>
      <c r="E41" s="232">
        <f>'Παραδοχές μοναδιαίου κόστους'!F20*'Ανάπτυξη δικτύου'!AA22</f>
        <v>0</v>
      </c>
      <c r="F41" s="232">
        <f>'Παραδοχές μοναδιαίου κόστους'!G31*'Ανάπτυξη δικτύου'!AD33</f>
        <v>0</v>
      </c>
      <c r="G41" s="232">
        <f>'Παραδοχές μοναδιαίου κόστους'!H31*'Ανάπτυξη δικτύου'!AG33</f>
        <v>0</v>
      </c>
      <c r="H41" s="232">
        <f>'Παραδοχές μοναδιαίου κόστους'!I31*'Ανάπτυξη δικτύου'!AJ33</f>
        <v>0</v>
      </c>
      <c r="I41" s="206">
        <f t="shared" ref="I41" si="27">D41+E41+F41+G41+H41</f>
        <v>0</v>
      </c>
    </row>
    <row r="42" spans="2:9" outlineLevel="1" x14ac:dyDescent="0.25">
      <c r="B42" s="52" t="s">
        <v>307</v>
      </c>
      <c r="C42" s="101" t="s">
        <v>47</v>
      </c>
      <c r="D42" s="232">
        <f>'Ανάπτυξη δικτύου'!X23*'Παραδοχές μοναδιαίου κόστους'!E21*0.5854</f>
        <v>0</v>
      </c>
      <c r="E42" s="232"/>
      <c r="F42" s="232"/>
      <c r="G42" s="232"/>
      <c r="H42" s="232"/>
      <c r="I42" s="206"/>
    </row>
    <row r="43" spans="2:9" outlineLevel="1" x14ac:dyDescent="0.25">
      <c r="B43" s="52" t="s">
        <v>304</v>
      </c>
      <c r="C43" s="101" t="s">
        <v>47</v>
      </c>
      <c r="D43" s="232">
        <f>'Ανάπτυξη δικτύου'!X24*'Παραδοχές μοναδιαίου κόστους'!E22*0.5854</f>
        <v>0</v>
      </c>
      <c r="E43" s="232"/>
      <c r="F43" s="232"/>
      <c r="G43" s="232"/>
      <c r="H43" s="232"/>
      <c r="I43" s="206"/>
    </row>
    <row r="44" spans="2:9" outlineLevel="1" x14ac:dyDescent="0.25">
      <c r="B44" s="52" t="s">
        <v>305</v>
      </c>
      <c r="C44" s="101" t="s">
        <v>47</v>
      </c>
      <c r="D44" s="232">
        <f>'Ανάπτυξη δικτύου'!X25*'Παραδοχές μοναδιαίου κόστους'!E23*0.6387</f>
        <v>0</v>
      </c>
      <c r="E44" s="232"/>
      <c r="F44" s="232"/>
      <c r="G44" s="232"/>
      <c r="H44" s="232"/>
      <c r="I44" s="206"/>
    </row>
    <row r="45" spans="2:9" outlineLevel="1" x14ac:dyDescent="0.25">
      <c r="B45" s="52" t="s">
        <v>306</v>
      </c>
      <c r="C45" s="101" t="s">
        <v>47</v>
      </c>
      <c r="D45" s="232">
        <f>'Ανάπτυξη δικτύου'!X26*'Παραδοχές μοναδιαίου κόστους'!E24*0.6387</f>
        <v>0</v>
      </c>
      <c r="E45" s="232"/>
      <c r="F45" s="232"/>
      <c r="G45" s="232"/>
      <c r="H45" s="232"/>
      <c r="I45" s="206"/>
    </row>
    <row r="46" spans="2:9" outlineLevel="1" x14ac:dyDescent="0.25">
      <c r="B46" s="52" t="s">
        <v>308</v>
      </c>
      <c r="C46" s="101" t="s">
        <v>47</v>
      </c>
      <c r="D46" s="232">
        <f>'Ανάπτυξη δικτύου'!X27*'Παραδοχές μοναδιαίου κόστους'!E25*0.5854</f>
        <v>0</v>
      </c>
      <c r="E46" s="232"/>
      <c r="F46" s="232"/>
      <c r="G46" s="232"/>
      <c r="H46" s="232"/>
      <c r="I46" s="206"/>
    </row>
    <row r="47" spans="2:9" outlineLevel="1" x14ac:dyDescent="0.25">
      <c r="B47" s="52"/>
      <c r="C47" s="101"/>
      <c r="D47" s="232"/>
      <c r="E47" s="232"/>
      <c r="F47" s="232"/>
      <c r="G47" s="232"/>
      <c r="H47" s="232"/>
      <c r="I47" s="206"/>
    </row>
    <row r="48" spans="2:9" outlineLevel="1" x14ac:dyDescent="0.25">
      <c r="B48" s="349" t="s">
        <v>90</v>
      </c>
      <c r="C48" s="350"/>
      <c r="D48" s="350"/>
      <c r="E48" s="350"/>
      <c r="F48" s="350"/>
      <c r="G48" s="350"/>
      <c r="H48" s="350"/>
      <c r="I48" s="351"/>
    </row>
    <row r="49" spans="2:37" outlineLevel="1" x14ac:dyDescent="0.25">
      <c r="B49" s="52" t="s">
        <v>84</v>
      </c>
      <c r="C49" s="101" t="s">
        <v>47</v>
      </c>
      <c r="D49" s="233">
        <f t="shared" ref="D49:I49" si="28">SUM(D33:D47)</f>
        <v>7297084.8230566531</v>
      </c>
      <c r="E49" s="233">
        <f t="shared" si="28"/>
        <v>0</v>
      </c>
      <c r="F49" s="233">
        <f t="shared" si="28"/>
        <v>0</v>
      </c>
      <c r="G49" s="233">
        <f t="shared" si="28"/>
        <v>0</v>
      </c>
      <c r="H49" s="233">
        <f t="shared" si="28"/>
        <v>0</v>
      </c>
      <c r="I49" s="207">
        <f t="shared" si="28"/>
        <v>7297084.8230566531</v>
      </c>
    </row>
    <row r="51" spans="2:37" ht="15.75" x14ac:dyDescent="0.25">
      <c r="B51" s="352" t="s">
        <v>23</v>
      </c>
      <c r="C51" s="352"/>
      <c r="D51" s="352"/>
      <c r="E51" s="352"/>
      <c r="F51" s="352"/>
      <c r="G51" s="352"/>
      <c r="H51" s="352"/>
      <c r="I51" s="352"/>
    </row>
    <row r="52" spans="2:37" ht="5.45" customHeight="1" outlineLevel="1" x14ac:dyDescent="0.2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row>
    <row r="53" spans="2:37" outlineLevel="1" x14ac:dyDescent="0.25">
      <c r="B53" s="81"/>
      <c r="C53" s="63" t="s">
        <v>20</v>
      </c>
      <c r="D53" s="88">
        <f>$C$3</f>
        <v>2023</v>
      </c>
      <c r="E53" s="88">
        <f>$C$3+1</f>
        <v>2024</v>
      </c>
      <c r="F53" s="88">
        <f>$C$3+2</f>
        <v>2025</v>
      </c>
      <c r="G53" s="88">
        <f>$C$3+3</f>
        <v>2026</v>
      </c>
      <c r="H53" s="88">
        <f>$C$3+4</f>
        <v>2027</v>
      </c>
      <c r="I53" s="87" t="str">
        <f xml:space="preserve"> D53&amp;" - "&amp;H53</f>
        <v>2023 - 2027</v>
      </c>
    </row>
    <row r="54" spans="2:37" outlineLevel="1" x14ac:dyDescent="0.25">
      <c r="B54" s="281" t="s">
        <v>283</v>
      </c>
      <c r="C54" s="101" t="s">
        <v>47</v>
      </c>
      <c r="D54" s="232">
        <f>'Παραδοχές μοναδιαίου κόστους'!E32*'Ανάπτυξη δικτύου'!X38</f>
        <v>36550</v>
      </c>
      <c r="E54" s="232">
        <f>'Παραδοχές μοναδιαίου κόστους'!F32*'Ανάπτυξη δικτύου'!AA38</f>
        <v>36550</v>
      </c>
      <c r="F54" s="232">
        <f>'Παραδοχές μοναδιαίου κόστους'!G32*'Ανάπτυξη δικτύου'!AD38</f>
        <v>0</v>
      </c>
      <c r="G54" s="232">
        <f>'Παραδοχές μοναδιαίου κόστους'!H32*'Ανάπτυξη δικτύου'!AG38</f>
        <v>0</v>
      </c>
      <c r="H54" s="232">
        <f>'Παραδοχές μοναδιαίου κόστους'!I32*'Ανάπτυξη δικτύου'!AJ38</f>
        <v>0</v>
      </c>
      <c r="I54" s="206">
        <f t="shared" ref="I54:I57" si="29">D54+E54+F54+G54+H54</f>
        <v>73100</v>
      </c>
    </row>
    <row r="55" spans="2:37" outlineLevel="1" x14ac:dyDescent="0.25">
      <c r="B55" s="52" t="s">
        <v>284</v>
      </c>
      <c r="C55" s="101" t="s">
        <v>47</v>
      </c>
      <c r="D55" s="232">
        <f>'Παραδοχές μοναδιαίου κόστους'!E33*'Ανάπτυξη δικτύου'!X39*0.5854</f>
        <v>471120.99265000003</v>
      </c>
      <c r="E55" s="232">
        <f>'Παραδοχές μοναδιαίου κόστους'!F33*'Ανάπτυξη δικτύου'!AA39</f>
        <v>74690</v>
      </c>
      <c r="F55" s="232">
        <f>'Παραδοχές μοναδιαίου κόστους'!G33*'Ανάπτυξη δικτύου'!AD39</f>
        <v>74690</v>
      </c>
      <c r="G55" s="232">
        <f>'Παραδοχές μοναδιαίου κόστους'!H33*'Ανάπτυξη δικτύου'!AG39</f>
        <v>74690</v>
      </c>
      <c r="H55" s="232">
        <f>'Παραδοχές μοναδιαίου κόστους'!I33*'Ανάπτυξη δικτύου'!AJ39</f>
        <v>74690</v>
      </c>
      <c r="I55" s="206">
        <f t="shared" si="29"/>
        <v>769880.99265000003</v>
      </c>
    </row>
    <row r="56" spans="2:37" outlineLevel="1" x14ac:dyDescent="0.25">
      <c r="B56" s="52" t="s">
        <v>285</v>
      </c>
      <c r="C56" s="101" t="s">
        <v>47</v>
      </c>
      <c r="D56" s="232">
        <f>'Παραδοχές μοναδιαίου κόστους'!E34*'Ανάπτυξη δικτύου'!X40*0.5854</f>
        <v>357920.78383600002</v>
      </c>
      <c r="E56" s="232">
        <f>'Παραδοχές μοναδιαίου κόστους'!F34*'Ανάπτυξη δικτύου'!AA40</f>
        <v>74690</v>
      </c>
      <c r="F56" s="232">
        <f>'Παραδοχές μοναδιαίου κόστους'!G34*'Ανάπτυξη δικτύου'!AD40</f>
        <v>74690</v>
      </c>
      <c r="G56" s="232">
        <f>'Παραδοχές μοναδιαίου κόστους'!H34*'Ανάπτυξη δικτύου'!AG40</f>
        <v>74690</v>
      </c>
      <c r="H56" s="232">
        <f>'Παραδοχές μοναδιαίου κόστους'!I34*'Ανάπτυξη δικτύου'!AJ40</f>
        <v>74690</v>
      </c>
      <c r="I56" s="206">
        <f t="shared" si="29"/>
        <v>656680.78383600002</v>
      </c>
    </row>
    <row r="57" spans="2:37" outlineLevel="1" x14ac:dyDescent="0.25">
      <c r="B57" s="52" t="s">
        <v>286</v>
      </c>
      <c r="C57" s="101" t="s">
        <v>47</v>
      </c>
      <c r="D57" s="232">
        <f>'Παραδοχές μοναδιαίου κόστους'!E35*'Ανάπτυξη δικτύου'!X41*0.5854</f>
        <v>1967558.6700000002</v>
      </c>
      <c r="E57" s="232">
        <f>'Παραδοχές μοναδιαίου κόστους'!F35*'Ανάπτυξη δικτύου'!AA41</f>
        <v>149380</v>
      </c>
      <c r="F57" s="232">
        <f>'Παραδοχές μοναδιαίου κόστους'!G35*'Ανάπτυξη δικτύου'!AD41</f>
        <v>149380</v>
      </c>
      <c r="G57" s="232">
        <f>'Παραδοχές μοναδιαίου κόστους'!H35*'Ανάπτυξη δικτύου'!AG41</f>
        <v>149380</v>
      </c>
      <c r="H57" s="232">
        <f>'Παραδοχές μοναδιαίου κόστους'!I35*'Ανάπτυξη δικτύου'!AJ41</f>
        <v>149380</v>
      </c>
      <c r="I57" s="206">
        <f t="shared" si="29"/>
        <v>2565078.67</v>
      </c>
    </row>
    <row r="58" spans="2:37" outlineLevel="1" x14ac:dyDescent="0.25">
      <c r="B58" s="52" t="s">
        <v>287</v>
      </c>
      <c r="C58" s="101" t="s">
        <v>47</v>
      </c>
      <c r="D58" s="232">
        <f>'Παραδοχές μοναδιαίου κόστους'!E36*'Ανάπτυξη δικτύου'!X42*0.5854</f>
        <v>1967558.6700000002</v>
      </c>
      <c r="E58" s="232">
        <f>'Παραδοχές μοναδιαίου κόστους'!F36*'Ανάπτυξη δικτύου'!AA42</f>
        <v>149380</v>
      </c>
      <c r="F58" s="232">
        <f>'Παραδοχές μοναδιαίου κόστους'!G36*'Ανάπτυξη δικτύου'!AD42</f>
        <v>149380</v>
      </c>
      <c r="G58" s="232">
        <f>'Παραδοχές μοναδιαίου κόστους'!H36*'Ανάπτυξη δικτύου'!AG42</f>
        <v>149380</v>
      </c>
      <c r="H58" s="232">
        <f>'Παραδοχές μοναδιαίου κόστους'!I36*'Ανάπτυξη δικτύου'!AJ42</f>
        <v>149380</v>
      </c>
      <c r="I58" s="206">
        <f t="shared" ref="I58:I62" si="30">D58+E58+F58+G58+H58</f>
        <v>2565078.67</v>
      </c>
    </row>
    <row r="59" spans="2:37" outlineLevel="1" x14ac:dyDescent="0.25">
      <c r="B59" s="52" t="s">
        <v>288</v>
      </c>
      <c r="C59" s="101" t="s">
        <v>47</v>
      </c>
      <c r="D59" s="232">
        <f>'Παραδοχές μοναδιαίου κόστους'!E37*'Ανάπτυξη δικτύου'!X43*0.5854</f>
        <v>787023.46799999999</v>
      </c>
      <c r="E59" s="232">
        <f>'Παραδοχές μοναδιαίου κόστους'!F37*'Ανάπτυξη δικτύου'!AA43</f>
        <v>149380</v>
      </c>
      <c r="F59" s="232">
        <f>'Παραδοχές μοναδιαίου κόστους'!G37*'Ανάπτυξη δικτύου'!AD43</f>
        <v>298760</v>
      </c>
      <c r="G59" s="232">
        <f>'Παραδοχές μοναδιαίου κόστους'!H37*'Ανάπτυξη δικτύου'!AG43</f>
        <v>149380</v>
      </c>
      <c r="H59" s="232">
        <f>'Παραδοχές μοναδιαίου κόστους'!I37*'Ανάπτυξη δικτύου'!AJ43</f>
        <v>149380</v>
      </c>
      <c r="I59" s="206">
        <f t="shared" si="30"/>
        <v>1533923.4679999999</v>
      </c>
    </row>
    <row r="60" spans="2:37" outlineLevel="1" x14ac:dyDescent="0.25">
      <c r="B60" s="52" t="s">
        <v>289</v>
      </c>
      <c r="C60" s="101" t="s">
        <v>47</v>
      </c>
      <c r="D60" s="232">
        <f>'Παραδοχές μοναδιαίου κόστους'!E38*'Ανάπτυξη δικτύου'!X44*0.6387</f>
        <v>2199050.4869999997</v>
      </c>
      <c r="E60" s="232">
        <f>'Παραδοχές μοναδιαίου κόστους'!F38*'Ανάπτυξη δικτύου'!AA44</f>
        <v>146200</v>
      </c>
      <c r="F60" s="232">
        <f>'Παραδοχές μοναδιαίου κόστους'!G38*'Ανάπτυξη δικτύου'!AD44</f>
        <v>146200</v>
      </c>
      <c r="G60" s="232">
        <f>'Παραδοχές μοναδιαίου κόστους'!H38*'Ανάπτυξη δικτύου'!AG44</f>
        <v>146200</v>
      </c>
      <c r="H60" s="232">
        <f>'Παραδοχές μοναδιαίου κόστους'!I38*'Ανάπτυξη δικτύου'!AJ44</f>
        <v>146200</v>
      </c>
      <c r="I60" s="206">
        <f t="shared" si="30"/>
        <v>2783850.4869999997</v>
      </c>
    </row>
    <row r="61" spans="2:37" outlineLevel="1" x14ac:dyDescent="0.25">
      <c r="B61" s="52" t="s">
        <v>290</v>
      </c>
      <c r="C61" s="101" t="s">
        <v>47</v>
      </c>
      <c r="D61" s="232">
        <f>'Παραδοχές μοναδιαίου κόστους'!E39*'Ανάπτυξη δικτύου'!X45*0.6387</f>
        <v>2334448.5</v>
      </c>
      <c r="E61" s="232">
        <f>'Παραδοχές μοναδιαίου κόστους'!F39*'Ανάπτυξη δικτύου'!AA45</f>
        <v>146200</v>
      </c>
      <c r="F61" s="232">
        <f>'Παραδοχές μοναδιαίου κόστους'!G39*'Ανάπτυξη δικτύου'!AD45</f>
        <v>146200</v>
      </c>
      <c r="G61" s="232">
        <f>'Παραδοχές μοναδιαίου κόστους'!H39*'Ανάπτυξη δικτύου'!AG45</f>
        <v>146200</v>
      </c>
      <c r="H61" s="232">
        <f>'Παραδοχές μοναδιαίου κόστους'!I39*'Ανάπτυξη δικτύου'!AJ45</f>
        <v>146200</v>
      </c>
      <c r="I61" s="206">
        <f t="shared" si="30"/>
        <v>2919248.5</v>
      </c>
    </row>
    <row r="62" spans="2:37" outlineLevel="1" x14ac:dyDescent="0.25">
      <c r="B62" s="52" t="s">
        <v>291</v>
      </c>
      <c r="C62" s="101" t="s">
        <v>47</v>
      </c>
      <c r="D62" s="232">
        <f>'Παραδοχές μοναδιαίου κόστους'!E40*'Ανάπτυξη δικτύου'!X46*0.6</f>
        <v>240739.97817200155</v>
      </c>
      <c r="E62" s="232">
        <f>'Παραδοχές μοναδιαίου κόστους'!F40*'Ανάπτυξη δικτύου'!AA46</f>
        <v>0</v>
      </c>
      <c r="F62" s="232">
        <f>'Παραδοχές μοναδιαίου κόστους'!G40*'Ανάπτυξη δικτύου'!AD46</f>
        <v>0</v>
      </c>
      <c r="G62" s="232">
        <f>'Παραδοχές μοναδιαίου κόστους'!H40*'Ανάπτυξη δικτύου'!AG46</f>
        <v>0</v>
      </c>
      <c r="H62" s="232">
        <f>'Παραδοχές μοναδιαίου κόστους'!I40*'Ανάπτυξη δικτύου'!AJ46</f>
        <v>0</v>
      </c>
      <c r="I62" s="206">
        <f t="shared" si="30"/>
        <v>240739.97817200155</v>
      </c>
    </row>
    <row r="63" spans="2:37" outlineLevel="1" x14ac:dyDescent="0.25">
      <c r="B63" s="52" t="s">
        <v>307</v>
      </c>
      <c r="C63" s="101" t="s">
        <v>47</v>
      </c>
      <c r="D63" s="232">
        <f>'Παραδοχές μοναδιαίου κόστους'!E41*'Ανάπτυξη δικτύου'!X47*0.5854</f>
        <v>240479.39300000001</v>
      </c>
      <c r="E63" s="232">
        <f>'Παραδοχές μοναδιαίου κόστους'!F41*'Ανάπτυξη δικτύου'!AA47</f>
        <v>261415</v>
      </c>
      <c r="F63" s="232">
        <f>'Παραδοχές μοναδιαίου κόστους'!G41*'Ανάπτυξη δικτύου'!AD47</f>
        <v>224070</v>
      </c>
      <c r="G63" s="232">
        <f>'Παραδοχές μοναδιαίου κόστους'!H41*'Ανάπτυξη δικτύου'!AG47</f>
        <v>74690</v>
      </c>
      <c r="H63" s="232">
        <f>'Παραδοχές μοναδιαίου κόστους'!I41*'Ανάπτυξη δικτύου'!AJ47</f>
        <v>74690</v>
      </c>
      <c r="I63" s="206">
        <f t="shared" ref="I63:I67" si="31">D63+E63+F63+G63+H63</f>
        <v>875344.39300000004</v>
      </c>
    </row>
    <row r="64" spans="2:37" outlineLevel="1" x14ac:dyDescent="0.25">
      <c r="B64" s="52" t="s">
        <v>304</v>
      </c>
      <c r="C64" s="101" t="s">
        <v>47</v>
      </c>
      <c r="D64" s="232">
        <f>'Παραδοχές μοναδιαίου κόστους'!E42*'Ανάπτυξη δικτύου'!X48*0.6387</f>
        <v>286227.01800000004</v>
      </c>
      <c r="E64" s="232">
        <f>'Παραδοχές μοναδιαίου κόστους'!F42*'Ανάπτυξη δικτύου'!AA48</f>
        <v>448140</v>
      </c>
      <c r="F64" s="232">
        <f>'Παραδοχές μοναδιαίου κόστους'!G42*'Ανάπτυξη δικτύου'!AD48</f>
        <v>224070</v>
      </c>
      <c r="G64" s="232">
        <f>'Παραδοχές μοναδιαίου κόστους'!H42*'Ανάπτυξη δικτύου'!AG48</f>
        <v>224070</v>
      </c>
      <c r="H64" s="232">
        <f>'Παραδοχές μοναδιαίου κόστους'!I42*'Ανάπτυξη δικτύου'!AJ48</f>
        <v>224070</v>
      </c>
      <c r="I64" s="206">
        <f t="shared" si="31"/>
        <v>1406577.0180000002</v>
      </c>
    </row>
    <row r="65" spans="2:37" outlineLevel="1" x14ac:dyDescent="0.25">
      <c r="B65" s="52" t="s">
        <v>305</v>
      </c>
      <c r="C65" s="101" t="s">
        <v>47</v>
      </c>
      <c r="D65" s="232">
        <f>'Παραδοχές μοναδιαίου κόστους'!E43*'Ανάπτυξη δικτύου'!X49*0.6387</f>
        <v>333931.52100000001</v>
      </c>
      <c r="E65" s="232">
        <f>'Παραδοχές μοναδιαίου κόστους'!F43*'Ανάπτυξη δικτύου'!AA49</f>
        <v>373450</v>
      </c>
      <c r="F65" s="232">
        <f>'Παραδοχές μοναδιαίου κόστους'!G43*'Ανάπτυξη δικτύου'!AD49</f>
        <v>149380</v>
      </c>
      <c r="G65" s="232">
        <f>'Παραδοχές μοναδιαίου κόστους'!H43*'Ανάπτυξη δικτύου'!AG49</f>
        <v>149380</v>
      </c>
      <c r="H65" s="232">
        <f>'Παραδοχές μοναδιαίου κόστους'!I43*'Ανάπτυξη δικτύου'!AJ49</f>
        <v>74690</v>
      </c>
      <c r="I65" s="206">
        <f t="shared" si="31"/>
        <v>1080831.5209999999</v>
      </c>
    </row>
    <row r="66" spans="2:37" outlineLevel="1" x14ac:dyDescent="0.25">
      <c r="B66" s="52" t="s">
        <v>306</v>
      </c>
      <c r="C66" s="101" t="s">
        <v>47</v>
      </c>
      <c r="D66" s="232">
        <f>'Παραδοχές μοναδιαίου κόστους'!E44*'Ανάπτυξη δικτύου'!X50*0.6</f>
        <v>144000</v>
      </c>
      <c r="E66" s="232">
        <f>'Παραδοχές μοναδιαίου κόστους'!F44*'Ανάπτυξη δικτύου'!AA50</f>
        <v>240000</v>
      </c>
      <c r="F66" s="232">
        <f>'Παραδοχές μοναδιαίου κόστους'!G44*'Ανάπτυξη δικτύου'!AD50</f>
        <v>160000</v>
      </c>
      <c r="G66" s="232">
        <f>'Παραδοχές μοναδιαίου κόστους'!H44*'Ανάπτυξη δικτύου'!AG50</f>
        <v>120000</v>
      </c>
      <c r="H66" s="232">
        <f>'Παραδοχές μοναδιαίου κόστους'!I44*'Ανάπτυξη δικτύου'!AJ50</f>
        <v>80000</v>
      </c>
      <c r="I66" s="206">
        <f t="shared" si="31"/>
        <v>744000</v>
      </c>
    </row>
    <row r="67" spans="2:37" outlineLevel="1" x14ac:dyDescent="0.25">
      <c r="B67" s="52" t="s">
        <v>308</v>
      </c>
      <c r="C67" s="101" t="s">
        <v>47</v>
      </c>
      <c r="D67" s="232">
        <f>'Παραδοχές μοναδιαίου κόστους'!E45*'Ανάπτυξη δικτύου'!X51*0.5854</f>
        <v>140496</v>
      </c>
      <c r="E67" s="232">
        <f>'Παραδοχές μοναδιαίου κόστους'!F45*'Ανάπτυξη δικτύου'!AA51</f>
        <v>240000</v>
      </c>
      <c r="F67" s="232">
        <f>'Παραδοχές μοναδιαίου κόστους'!G45*'Ανάπτυξη δικτύου'!AD51</f>
        <v>200000</v>
      </c>
      <c r="G67" s="232">
        <f>'Παραδοχές μοναδιαίου κόστους'!H45*'Ανάπτυξη δικτύου'!AG51</f>
        <v>160000</v>
      </c>
      <c r="H67" s="232">
        <f>'Παραδοχές μοναδιαίου κόστους'!I45*'Ανάπτυξη δικτύου'!AJ51</f>
        <v>80000</v>
      </c>
      <c r="I67" s="206">
        <f t="shared" si="31"/>
        <v>820496</v>
      </c>
    </row>
    <row r="68" spans="2:37" outlineLevel="1" x14ac:dyDescent="0.25">
      <c r="B68" s="52"/>
      <c r="C68" s="101"/>
      <c r="D68" s="232"/>
      <c r="E68" s="232"/>
      <c r="F68" s="232"/>
      <c r="G68" s="232"/>
      <c r="H68" s="232"/>
      <c r="I68" s="206"/>
    </row>
    <row r="69" spans="2:37" outlineLevel="1" x14ac:dyDescent="0.25">
      <c r="B69" s="349" t="s">
        <v>90</v>
      </c>
      <c r="C69" s="350"/>
      <c r="D69" s="350"/>
      <c r="E69" s="350"/>
      <c r="F69" s="350"/>
      <c r="G69" s="350"/>
      <c r="H69" s="350"/>
      <c r="I69" s="351"/>
    </row>
    <row r="70" spans="2:37" outlineLevel="1" x14ac:dyDescent="0.25">
      <c r="B70" s="52" t="s">
        <v>84</v>
      </c>
      <c r="C70" s="101" t="s">
        <v>47</v>
      </c>
      <c r="D70" s="233">
        <f t="shared" ref="D70:I70" si="32">SUM(D54:D68)</f>
        <v>11507105.481658</v>
      </c>
      <c r="E70" s="233">
        <f t="shared" si="32"/>
        <v>2489475</v>
      </c>
      <c r="F70" s="233">
        <f t="shared" si="32"/>
        <v>1996820</v>
      </c>
      <c r="G70" s="233">
        <f t="shared" si="32"/>
        <v>1618060</v>
      </c>
      <c r="H70" s="233">
        <f t="shared" si="32"/>
        <v>1423370</v>
      </c>
      <c r="I70" s="207">
        <f t="shared" si="32"/>
        <v>19034830.481658004</v>
      </c>
    </row>
    <row r="72" spans="2:37" ht="15.75" x14ac:dyDescent="0.25">
      <c r="B72" s="352" t="s">
        <v>165</v>
      </c>
      <c r="C72" s="352"/>
      <c r="D72" s="352"/>
      <c r="E72" s="352"/>
      <c r="F72" s="352"/>
      <c r="G72" s="352"/>
      <c r="H72" s="352"/>
      <c r="I72" s="352"/>
    </row>
    <row r="73" spans="2:37" ht="5.45" customHeight="1" outlineLevel="1" x14ac:dyDescent="0.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row>
    <row r="74" spans="2:37" outlineLevel="1" x14ac:dyDescent="0.25">
      <c r="B74" s="81"/>
      <c r="C74" s="63" t="s">
        <v>20</v>
      </c>
      <c r="D74" s="88">
        <f>$C$3</f>
        <v>2023</v>
      </c>
      <c r="E74" s="88">
        <f>$C$3+1</f>
        <v>2024</v>
      </c>
      <c r="F74" s="88">
        <f>$C$3+2</f>
        <v>2025</v>
      </c>
      <c r="G74" s="88">
        <f>$C$3+3</f>
        <v>2026</v>
      </c>
      <c r="H74" s="88">
        <f>$C$3+4</f>
        <v>2027</v>
      </c>
      <c r="I74" s="87" t="str">
        <f xml:space="preserve"> D74&amp;" - "&amp;H74</f>
        <v>2023 - 2027</v>
      </c>
    </row>
    <row r="75" spans="2:37" outlineLevel="1" x14ac:dyDescent="0.25">
      <c r="B75" s="281" t="s">
        <v>283</v>
      </c>
      <c r="C75" s="101" t="s">
        <v>47</v>
      </c>
      <c r="D75" s="232">
        <f>'Παραδοχές μοναδιαίου κόστους'!E52*'Ανάπτυξη δικτύου'!X61</f>
        <v>104040</v>
      </c>
      <c r="E75" s="232">
        <f>'Παραδοχές μοναδιαίου κόστους'!F52*'Ανάπτυξη δικτύου'!AA61</f>
        <v>142800</v>
      </c>
      <c r="F75" s="232">
        <f>'Παραδοχές μοναδιαίου κόστους'!G52*'Ανάπτυξη δικτύου'!AD61</f>
        <v>71400</v>
      </c>
      <c r="G75" s="232">
        <f>'Παραδοχές μοναδιαίου κόστους'!H52*'Ανάπτυξη δικτύου'!AG61</f>
        <v>20400</v>
      </c>
      <c r="H75" s="232">
        <f>'Παραδοχές μοναδιαίου κόστους'!I52*'Ανάπτυξη δικτύου'!AJ61</f>
        <v>10880</v>
      </c>
      <c r="I75" s="206">
        <f t="shared" ref="I75:I78" si="33">D75+E75+F75+G75+H75</f>
        <v>349520</v>
      </c>
    </row>
    <row r="76" spans="2:37" outlineLevel="1" x14ac:dyDescent="0.25">
      <c r="B76" s="52" t="s">
        <v>284</v>
      </c>
      <c r="C76" s="101" t="s">
        <v>47</v>
      </c>
      <c r="D76" s="232">
        <f>'Παραδοχές μοναδιαίου κόστους'!E53*'Ανάπτυξη δικτύου'!X62*0.5854</f>
        <v>96333.423999999999</v>
      </c>
      <c r="E76" s="232">
        <f>'Παραδοχές μοναδιαίου κόστους'!F53*'Ανάπτυξη δικτύου'!AA62</f>
        <v>197200</v>
      </c>
      <c r="F76" s="232">
        <f>'Παραδοχές μοναδιαίου κόστους'!G53*'Ανάπτυξη δικτύου'!AD62</f>
        <v>182240</v>
      </c>
      <c r="G76" s="232">
        <f>'Παραδοχές μοναδιαίου κόστους'!H53*'Ανάπτυξη δικτύου'!AG62</f>
        <v>46240</v>
      </c>
      <c r="H76" s="232">
        <f>'Παραδοχές μοναδιαίου κόστους'!I53*'Ανάπτυξη δικτύου'!AJ62</f>
        <v>9520</v>
      </c>
      <c r="I76" s="206">
        <f t="shared" si="33"/>
        <v>531533.424</v>
      </c>
    </row>
    <row r="77" spans="2:37" outlineLevel="1" x14ac:dyDescent="0.25">
      <c r="B77" s="52" t="s">
        <v>285</v>
      </c>
      <c r="C77" s="101" t="s">
        <v>47</v>
      </c>
      <c r="D77" s="232">
        <f>'Παραδοχές μοναδιαίου κόστους'!E54*'Ανάπτυξη δικτύου'!X63*0.5854</f>
        <v>95537.279999999999</v>
      </c>
      <c r="E77" s="232">
        <f>'Παραδοχές μοναδιαίου κόστους'!F54*'Ανάπτυξη δικτύου'!AA63</f>
        <v>193120</v>
      </c>
      <c r="F77" s="232">
        <f>'Παραδοχές μοναδιαίου κόστους'!G54*'Ανάπτυξη δικτύου'!AD63</f>
        <v>153680</v>
      </c>
      <c r="G77" s="232">
        <f>'Παραδοχές μοναδιαίου κόστους'!H54*'Ανάπτυξη δικτύου'!AG63</f>
        <v>46920</v>
      </c>
      <c r="H77" s="232">
        <f>'Παραδοχές μοναδιαίου κόστους'!I54*'Ανάπτυξη δικτύου'!AJ63</f>
        <v>24480</v>
      </c>
      <c r="I77" s="206">
        <f t="shared" si="33"/>
        <v>513737.28</v>
      </c>
    </row>
    <row r="78" spans="2:37" outlineLevel="1" x14ac:dyDescent="0.25">
      <c r="B78" s="52" t="s">
        <v>286</v>
      </c>
      <c r="C78" s="101" t="s">
        <v>47</v>
      </c>
      <c r="D78" s="232">
        <f>'Παραδοχές μοναδιαίου κόστους'!E55*'Ανάπτυξη δικτύου'!X64*0.5854</f>
        <v>109071.728</v>
      </c>
      <c r="E78" s="232">
        <f>'Παραδοχές μοναδιαίου κόστους'!F55*'Ανάπτυξη δικτύου'!AA64</f>
        <v>786760</v>
      </c>
      <c r="F78" s="232">
        <f>'Παραδοχές μοναδιαίου κόστους'!G55*'Ανάπτυξη δικτύου'!AD64</f>
        <v>557600</v>
      </c>
      <c r="G78" s="232">
        <f>'Παραδοχές μοναδιαίου κόστους'!H55*'Ανάπτυξη δικτύου'!AG64</f>
        <v>205360</v>
      </c>
      <c r="H78" s="232">
        <f>'Παραδοχές μοναδιαίου κόστους'!I55*'Ανάπτυξη δικτύου'!AJ64</f>
        <v>103360</v>
      </c>
      <c r="I78" s="206">
        <f t="shared" si="33"/>
        <v>1762151.7280000001</v>
      </c>
    </row>
    <row r="79" spans="2:37" outlineLevel="1" x14ac:dyDescent="0.25">
      <c r="B79" s="52" t="s">
        <v>287</v>
      </c>
      <c r="C79" s="101" t="s">
        <v>47</v>
      </c>
      <c r="D79" s="232">
        <f>'Παραδοχές μοναδιαίου κόστους'!E56*'Ανάπτυξη δικτύου'!X65*0.5854</f>
        <v>0</v>
      </c>
      <c r="E79" s="232">
        <f>'Παραδοχές μοναδιαίου κόστους'!F56*'Ανάπτυξη δικτύου'!AA65</f>
        <v>703120</v>
      </c>
      <c r="F79" s="232">
        <f>'Παραδοχές μοναδιαίου κόστους'!G56*'Ανάπτυξη δικτύου'!AD65</f>
        <v>550120</v>
      </c>
      <c r="G79" s="232">
        <f>'Παραδοχές μοναδιαίου κόστους'!H56*'Ανάπτυξη δικτύου'!AG65</f>
        <v>475320</v>
      </c>
      <c r="H79" s="232">
        <f>'Παραδοχές μοναδιαίου κόστους'!I56*'Ανάπτυξη δικτύου'!AJ65</f>
        <v>240040</v>
      </c>
      <c r="I79" s="206">
        <f t="shared" ref="I79:I82" si="34">D79+E79+F79+G79+H79</f>
        <v>1968600</v>
      </c>
    </row>
    <row r="80" spans="2:37" outlineLevel="1" x14ac:dyDescent="0.25">
      <c r="B80" s="52" t="s">
        <v>288</v>
      </c>
      <c r="C80" s="101" t="s">
        <v>47</v>
      </c>
      <c r="D80" s="232">
        <f>'Παραδοχές μοναδιαίου κόστους'!E57*'Ανάπτυξη δικτύου'!X66*0.5854</f>
        <v>112654.376</v>
      </c>
      <c r="E80" s="232">
        <f>'Παραδοχές μοναδιαίου κόστους'!F57*'Ανάπτυξη δικτύου'!AA66</f>
        <v>251600</v>
      </c>
      <c r="F80" s="232">
        <f>'Παραδοχές μοναδιαίου κόστους'!G57*'Ανάπτυξη δικτύου'!AD66</f>
        <v>157080</v>
      </c>
      <c r="G80" s="232">
        <f>'Παραδοχές μοναδιαίου κόστους'!H57*'Ανάπτυξη δικτύου'!AG66</f>
        <v>36720</v>
      </c>
      <c r="H80" s="232">
        <f>'Παραδοχές μοναδιαίου κόστους'!I57*'Ανάπτυξη δικτύου'!AJ66</f>
        <v>18360</v>
      </c>
      <c r="I80" s="206">
        <f t="shared" si="34"/>
        <v>576414.37599999993</v>
      </c>
    </row>
    <row r="81" spans="2:37" outlineLevel="1" x14ac:dyDescent="0.25">
      <c r="B81" s="52" t="s">
        <v>289</v>
      </c>
      <c r="C81" s="101" t="s">
        <v>47</v>
      </c>
      <c r="D81" s="232">
        <f>'Παραδοχές μοναδιαίου κόστους'!E58*'Ανάπτυξη δικτύου'!X67*0.6387</f>
        <v>241914.01200000002</v>
      </c>
      <c r="E81" s="232">
        <f>'Παραδοχές μοναδιαίου κόστους'!F58*'Ανάπτυξη δικτύου'!AA67</f>
        <v>1143080</v>
      </c>
      <c r="F81" s="232">
        <f>'Παραδοχές μοναδιαίου κόστους'!G58*'Ανάπτυξη δικτύου'!AD67</f>
        <v>749360</v>
      </c>
      <c r="G81" s="232">
        <f>'Παραδοχές μοναδιαίου κόστους'!H58*'Ανάπτυξη δικτύου'!AG67</f>
        <v>729640</v>
      </c>
      <c r="H81" s="232">
        <f>'Παραδοχές μοναδιαίου κόστους'!I58*'Ανάπτυξη δικτύου'!AJ67</f>
        <v>365160</v>
      </c>
      <c r="I81" s="206">
        <f t="shared" si="34"/>
        <v>3229154.0120000001</v>
      </c>
    </row>
    <row r="82" spans="2:37" outlineLevel="1" x14ac:dyDescent="0.25">
      <c r="B82" s="52" t="s">
        <v>290</v>
      </c>
      <c r="C82" s="101" t="s">
        <v>47</v>
      </c>
      <c r="D82" s="232">
        <f>'Παραδοχές μοναδιαίου κόστους'!E59*'Ανάπτυξη δικτύου'!X68*0.6387</f>
        <v>230187.48</v>
      </c>
      <c r="E82" s="232">
        <f>'Παραδοχές μοναδιαίου κόστους'!F59*'Ανάπτυξη δικτύου'!AA68</f>
        <v>1030200</v>
      </c>
      <c r="F82" s="232">
        <f>'Παραδοχές μοναδιαίου κόστους'!G59*'Ανάπτυξη δικτύου'!AD68</f>
        <v>867000</v>
      </c>
      <c r="G82" s="232">
        <f>'Παραδοχές μοναδιαίου κόστους'!H59*'Ανάπτυξη δικτύου'!AG68</f>
        <v>731000</v>
      </c>
      <c r="H82" s="232">
        <f>'Παραδοχές μοναδιαίου κόστους'!I59*'Ανάπτυξη δικτύου'!AJ68</f>
        <v>365160</v>
      </c>
      <c r="I82" s="206">
        <f t="shared" si="34"/>
        <v>3223547.48</v>
      </c>
    </row>
    <row r="83" spans="2:37" outlineLevel="1" x14ac:dyDescent="0.25">
      <c r="B83" s="52" t="s">
        <v>291</v>
      </c>
      <c r="C83" s="101" t="s">
        <v>47</v>
      </c>
      <c r="D83" s="232">
        <f>'Παραδοχές μοναδιαίου κόστους'!E60*'Ανάπτυξη δικτύου'!X69*0.6</f>
        <v>106080</v>
      </c>
      <c r="E83" s="232">
        <f>'Παραδοχές μοναδιαίου κόστους'!F60*'Ανάπτυξη δικτύου'!AA69</f>
        <v>98600</v>
      </c>
      <c r="F83" s="232">
        <f>'Παραδοχές μοναδιαίου κόστους'!G60*'Ανάπτυξη δικτύου'!AD69</f>
        <v>23120</v>
      </c>
      <c r="G83" s="232">
        <f>'Παραδοχές μοναδιαίου κόστους'!H60*'Ανάπτυξη δικτύου'!AG69</f>
        <v>20400</v>
      </c>
      <c r="H83" s="232">
        <f>'Παραδοχές μοναδιαίου κόστους'!I60*'Ανάπτυξη δικτύου'!AJ69</f>
        <v>13600</v>
      </c>
      <c r="I83" s="206">
        <f t="shared" ref="I83:I85" si="35">D83+E83+F83+G83+H83</f>
        <v>261800</v>
      </c>
    </row>
    <row r="84" spans="2:37" outlineLevel="1" x14ac:dyDescent="0.25">
      <c r="B84" s="52" t="s">
        <v>307</v>
      </c>
      <c r="C84" s="101" t="s">
        <v>47</v>
      </c>
      <c r="D84" s="232">
        <f>'Παραδοχές μοναδιαίου κόστους'!E61*'Ανάπτυξη δικτύου'!X70*0.6387</f>
        <v>28230.54</v>
      </c>
      <c r="E84" s="232">
        <f>'Παραδοχές μοναδιαίου κόστους'!F61*'Ανάπτυξη δικτύου'!AA70</f>
        <v>63920</v>
      </c>
      <c r="F84" s="232">
        <f>'Παραδοχές μοναδιαίου κόστους'!G61*'Ανάπτυξη δικτύου'!AD70</f>
        <v>68680</v>
      </c>
      <c r="G84" s="232">
        <f>'Παραδοχές μοναδιαίου κόστους'!H61*'Ανάπτυξη δικτύου'!AG70</f>
        <v>40800</v>
      </c>
      <c r="H84" s="232">
        <f>'Παραδοχές μοναδιαίου κόστους'!I61*'Ανάπτυξη δικτύου'!AJ70</f>
        <v>33320</v>
      </c>
      <c r="I84" s="206">
        <f t="shared" si="35"/>
        <v>234950.54</v>
      </c>
    </row>
    <row r="85" spans="2:37" outlineLevel="1" x14ac:dyDescent="0.25">
      <c r="B85" s="52" t="s">
        <v>304</v>
      </c>
      <c r="C85" s="101" t="s">
        <v>47</v>
      </c>
      <c r="D85" s="232">
        <f>'Παραδοχές μοναδιαίου κόστους'!E62*'Ανάπτυξη δικτύου'!X71*0.6387</f>
        <v>30836.436000000002</v>
      </c>
      <c r="E85" s="232">
        <f>'Παραδοχές μοναδιαίου κόστους'!F62*'Ανάπτυξη δικτύου'!AA71</f>
        <v>63920</v>
      </c>
      <c r="F85" s="232">
        <f>'Παραδοχές μοναδιαίου κόστους'!G62*'Ανάπτυξη δικτύου'!AD71</f>
        <v>102000</v>
      </c>
      <c r="G85" s="232">
        <f>'Παραδοχές μοναδιαίου κόστους'!H62*'Ανάπτυξη δικτύου'!AG71</f>
        <v>47600</v>
      </c>
      <c r="H85" s="232">
        <f>'Παραδοχές μοναδιαίου κόστους'!I62*'Ανάπτυξη δικτύου'!AJ71</f>
        <v>33320</v>
      </c>
      <c r="I85" s="206">
        <f t="shared" si="35"/>
        <v>277676.43599999999</v>
      </c>
    </row>
    <row r="86" spans="2:37" outlineLevel="1" x14ac:dyDescent="0.25">
      <c r="B86" s="52" t="s">
        <v>305</v>
      </c>
      <c r="C86" s="101" t="s">
        <v>47</v>
      </c>
      <c r="D86" s="232">
        <f>'Παραδοχές μοναδιαίου κόστους'!E63*'Ανάπτυξη δικτύου'!X72*0.6</f>
        <v>27336</v>
      </c>
      <c r="E86" s="232">
        <f>'Παραδοχές μοναδιαίου κόστους'!F63*'Ανάπτυξη δικτύου'!AA72</f>
        <v>63920</v>
      </c>
      <c r="F86" s="232">
        <f>'Παραδοχές μοναδιαίου κόστους'!G63*'Ανάπτυξη δικτύου'!AD72</f>
        <v>88400</v>
      </c>
      <c r="G86" s="232">
        <f>'Παραδοχές μοναδιαίου κόστους'!H63*'Ανάπτυξη δικτύου'!AG72</f>
        <v>40800</v>
      </c>
      <c r="H86" s="232">
        <f>'Παραδοχές μοναδιαίου κόστους'!I63*'Ανάπτυξη δικτύου'!AJ72</f>
        <v>33320</v>
      </c>
      <c r="I86" s="206">
        <f t="shared" ref="I86:I88" si="36">D86+E86+F86+G86+H86</f>
        <v>253776</v>
      </c>
    </row>
    <row r="87" spans="2:37" outlineLevel="1" x14ac:dyDescent="0.25">
      <c r="B87" s="52" t="s">
        <v>306</v>
      </c>
      <c r="C87" s="101" t="s">
        <v>47</v>
      </c>
      <c r="D87" s="232">
        <f>'Παραδοχές μοναδιαίου κόστους'!E64*'Ανάπτυξη δικτύου'!X73*0.6387</f>
        <v>66450.347999999998</v>
      </c>
      <c r="E87" s="232">
        <f>'Παραδοχές μοναδιαίου κόστους'!F64*'Ανάπτυξη δικτύου'!AA73</f>
        <v>119000</v>
      </c>
      <c r="F87" s="232">
        <f>'Παραδοχές μοναδιαίου κόστους'!G64*'Ανάπτυξη δικτύου'!AD73</f>
        <v>138040</v>
      </c>
      <c r="G87" s="232">
        <f>'Παραδοχές μοναδιαίου κόστους'!H64*'Ανάπτυξη δικτύου'!AG73</f>
        <v>125120</v>
      </c>
      <c r="H87" s="232">
        <f>'Παραδοχές μοναδιαίου κόστους'!I64*'Ανάπτυξη δικτύου'!AJ73</f>
        <v>81600</v>
      </c>
      <c r="I87" s="206">
        <f t="shared" si="36"/>
        <v>530210.348</v>
      </c>
    </row>
    <row r="88" spans="2:37" outlineLevel="1" x14ac:dyDescent="0.25">
      <c r="B88" s="52" t="s">
        <v>308</v>
      </c>
      <c r="C88" s="101" t="s">
        <v>47</v>
      </c>
      <c r="D88" s="232">
        <f>'Παραδοχές μοναδιαίου κόστους'!E65*'Ανάπτυξη δικτύου'!X74*0.6387</f>
        <v>52986.552000000003</v>
      </c>
      <c r="E88" s="232">
        <f>'Παραδοχές μοναδιαίου κόστους'!F65*'Ανάπτυξη δικτύου'!AA74</f>
        <v>111520</v>
      </c>
      <c r="F88" s="232">
        <f>'Παραδοχές μοναδιαίου κόστους'!G65*'Ανάπτυξη δικτύου'!AD74</f>
        <v>125120</v>
      </c>
      <c r="G88" s="232">
        <f>'Παραδοχές μοναδιαίου κόστους'!H65*'Ανάπτυξη δικτύου'!AG74</f>
        <v>103360</v>
      </c>
      <c r="H88" s="232">
        <f>'Παραδοχές μοναδιαίου κόστους'!I65*'Ανάπτυξη δικτύου'!AJ74</f>
        <v>81600</v>
      </c>
      <c r="I88" s="206">
        <f t="shared" si="36"/>
        <v>474586.55200000003</v>
      </c>
    </row>
    <row r="89" spans="2:37" outlineLevel="1" x14ac:dyDescent="0.25">
      <c r="B89" s="52"/>
      <c r="C89" s="101"/>
      <c r="D89" s="232"/>
      <c r="E89" s="232"/>
      <c r="F89" s="232"/>
      <c r="G89" s="232"/>
      <c r="H89" s="232"/>
      <c r="I89" s="206"/>
    </row>
    <row r="90" spans="2:37" outlineLevel="1" x14ac:dyDescent="0.25">
      <c r="B90" s="349" t="s">
        <v>90</v>
      </c>
      <c r="C90" s="350"/>
      <c r="D90" s="350"/>
      <c r="E90" s="350"/>
      <c r="F90" s="350"/>
      <c r="G90" s="350"/>
      <c r="H90" s="350"/>
      <c r="I90" s="351"/>
    </row>
    <row r="91" spans="2:37" outlineLevel="1" x14ac:dyDescent="0.25">
      <c r="B91" s="52" t="s">
        <v>84</v>
      </c>
      <c r="C91" s="101" t="s">
        <v>47</v>
      </c>
      <c r="D91" s="233">
        <f t="shared" ref="D91:I91" si="37">SUM(D75:D89)</f>
        <v>1301658.176</v>
      </c>
      <c r="E91" s="233">
        <f t="shared" si="37"/>
        <v>4968760</v>
      </c>
      <c r="F91" s="233">
        <f t="shared" si="37"/>
        <v>3833840</v>
      </c>
      <c r="G91" s="233">
        <f t="shared" si="37"/>
        <v>2669680</v>
      </c>
      <c r="H91" s="233">
        <f t="shared" si="37"/>
        <v>1413720</v>
      </c>
      <c r="I91" s="207">
        <f t="shared" si="37"/>
        <v>14187658.175999999</v>
      </c>
    </row>
    <row r="93" spans="2:37" ht="15.75" x14ac:dyDescent="0.25">
      <c r="B93" s="352" t="s">
        <v>37</v>
      </c>
      <c r="C93" s="352"/>
      <c r="D93" s="352"/>
      <c r="E93" s="352"/>
      <c r="F93" s="352"/>
      <c r="G93" s="352"/>
      <c r="H93" s="352"/>
      <c r="I93" s="352"/>
    </row>
    <row r="94" spans="2:37" ht="5.45" customHeight="1" outlineLevel="1" x14ac:dyDescent="0.2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row>
    <row r="95" spans="2:37" outlineLevel="1" x14ac:dyDescent="0.25">
      <c r="B95" s="81"/>
      <c r="C95" s="63" t="s">
        <v>20</v>
      </c>
      <c r="D95" s="88">
        <f>$C$3</f>
        <v>2023</v>
      </c>
      <c r="E95" s="88">
        <f>$C$3+1</f>
        <v>2024</v>
      </c>
      <c r="F95" s="88">
        <f>$C$3+2</f>
        <v>2025</v>
      </c>
      <c r="G95" s="88">
        <f>$C$3+3</f>
        <v>2026</v>
      </c>
      <c r="H95" s="88">
        <f>$C$3+4</f>
        <v>2027</v>
      </c>
      <c r="I95" s="87" t="str">
        <f xml:space="preserve"> D95&amp;" - "&amp;H95</f>
        <v>2023 - 2027</v>
      </c>
    </row>
    <row r="96" spans="2:37" outlineLevel="1" x14ac:dyDescent="0.25">
      <c r="B96" s="281" t="s">
        <v>283</v>
      </c>
      <c r="C96" s="101" t="s">
        <v>47</v>
      </c>
      <c r="D96" s="232">
        <f>'Παραδοχές μοναδιαίου κόστους'!E72*'Ανάπτυξη δικτύου'!X84</f>
        <v>38760</v>
      </c>
      <c r="E96" s="232">
        <f>'Παραδοχές μοναδιαίου κόστους'!F72*'Ανάπτυξη δικτύου'!AA84</f>
        <v>53199.999999999993</v>
      </c>
      <c r="F96" s="232">
        <f>'Παραδοχές μοναδιαίου κόστους'!G72*'Ανάπτυξη δικτύου'!AD84</f>
        <v>26599.999999999996</v>
      </c>
      <c r="G96" s="232">
        <f>'Παραδοχές μοναδιαίου κόστους'!H72*'Ανάπτυξη δικτύου'!AG84</f>
        <v>7599.9999999999991</v>
      </c>
      <c r="H96" s="232">
        <f>'Παραδοχές μοναδιαίου κόστους'!I72*'Ανάπτυξη δικτύου'!AJ84</f>
        <v>4053.333333333333</v>
      </c>
      <c r="I96" s="206">
        <f t="shared" ref="I96:I99" si="38">D96+E96+F96+G96+H96</f>
        <v>130213.33333333333</v>
      </c>
    </row>
    <row r="97" spans="2:9" outlineLevel="1" x14ac:dyDescent="0.25">
      <c r="B97" s="52" t="s">
        <v>284</v>
      </c>
      <c r="C97" s="101" t="s">
        <v>47</v>
      </c>
      <c r="D97" s="232">
        <f>'Παραδοχές μοναδιαίου κόστους'!E73*'Ανάπτυξη δικτύου'!X85*0.5854</f>
        <v>40892.959634408595</v>
      </c>
      <c r="E97" s="232">
        <f>'Παραδοχές μοναδιαίου κόστους'!F73*'Ανάπτυξη δικτύου'!AA85</f>
        <v>83710.21505376343</v>
      </c>
      <c r="F97" s="232">
        <f>'Παραδοχές μοναδιαίου κόστους'!G73*'Ανάπτυξη δικτύου'!AD85</f>
        <v>77359.784946236556</v>
      </c>
      <c r="G97" s="232">
        <f>'Παραδοχές μοναδιαίου κόστους'!H73*'Ανάπτυξη δικτύου'!AG85</f>
        <v>19628.602150537634</v>
      </c>
      <c r="H97" s="232">
        <f>'Παραδοχές μοναδιαίου κόστους'!I73*'Ανάπτυξη δικτύου'!AJ85</f>
        <v>4041.1827956989246</v>
      </c>
      <c r="I97" s="206">
        <f t="shared" si="38"/>
        <v>225632.74458064514</v>
      </c>
    </row>
    <row r="98" spans="2:9" outlineLevel="1" x14ac:dyDescent="0.25">
      <c r="B98" s="52" t="s">
        <v>285</v>
      </c>
      <c r="C98" s="101" t="s">
        <v>47</v>
      </c>
      <c r="D98" s="232">
        <f>'Παραδοχές μοναδιαίου κόστους'!E74*'Ανάπτυξη δικτύου'!X86*0.5854</f>
        <v>40683.798974358979</v>
      </c>
      <c r="E98" s="232">
        <f>'Παραδοχές μοναδιαίου κόστους'!F74*'Ανάπτυξη δικτύου'!AA86</f>
        <v>82238.632478632484</v>
      </c>
      <c r="F98" s="232">
        <f>'Παραδοχές μοναδιαίου κόστους'!G74*'Ανάπτυξη δικτύου'!AD86</f>
        <v>65443.418803418812</v>
      </c>
      <c r="G98" s="232">
        <f>'Παραδοχές μοναδιαίου κόστους'!H74*'Ανάπτυξη δικτύου'!AG86</f>
        <v>19980.51282051282</v>
      </c>
      <c r="H98" s="232">
        <f>'Παραδοχές μοναδιαίου κόστους'!I74*'Ανάπτυξη δικτύου'!AJ86</f>
        <v>10424.615384615385</v>
      </c>
      <c r="I98" s="206">
        <f t="shared" si="38"/>
        <v>218770.97846153847</v>
      </c>
    </row>
    <row r="99" spans="2:9" outlineLevel="1" x14ac:dyDescent="0.25">
      <c r="B99" s="52" t="s">
        <v>286</v>
      </c>
      <c r="C99" s="101" t="s">
        <v>47</v>
      </c>
      <c r="D99" s="232">
        <f>'Παραδοχές μοναδιαίου κόστους'!E75*'Ανάπτυξη δικτύου'!X87*0.5854</f>
        <v>48632.572785388133</v>
      </c>
      <c r="E99" s="232">
        <f>'Παραδοχές μοναδιαίου κόστους'!F75*'Ανάπτυξη δικτύου'!AA87</f>
        <v>350798.1735159817</v>
      </c>
      <c r="F99" s="232">
        <f>'Παραδοχές μοναδιαίου κόστους'!G75*'Ανάπτυξη δικτύου'!AD87</f>
        <v>248621.00456621003</v>
      </c>
      <c r="G99" s="232">
        <f>'Παραδοχές μοναδιαίου κόστους'!H75*'Ανάπτυξη δικτύου'!AG87</f>
        <v>91565.296803652964</v>
      </c>
      <c r="H99" s="232">
        <f>'Παραδοχές μοναδιαίου κόστους'!I75*'Ανάπτυξη δικτύου'!AJ87</f>
        <v>46085.844748858442</v>
      </c>
      <c r="I99" s="206">
        <f t="shared" si="38"/>
        <v>785702.89242009132</v>
      </c>
    </row>
    <row r="100" spans="2:9" outlineLevel="1" x14ac:dyDescent="0.25">
      <c r="B100" s="52" t="s">
        <v>287</v>
      </c>
      <c r="C100" s="101" t="s">
        <v>47</v>
      </c>
      <c r="D100" s="232">
        <f>'Παραδοχές μοναδιαίου κόστους'!E76*'Ανάπτυξη δικτύου'!X88*0.5854</f>
        <v>0</v>
      </c>
      <c r="E100" s="232">
        <f>'Παραδοχές μοναδιαίου κόστους'!F76*'Ανάπτυξη δικτύου'!AA88</f>
        <v>318033.20805011329</v>
      </c>
      <c r="F100" s="232">
        <f>'Παραδοχές μοναδιαίου κόστους'!G76*'Ανάπτυξη δικτύου'!AD88</f>
        <v>248828.68985739036</v>
      </c>
      <c r="G100" s="232">
        <f>'Παραδοχές μοναδιαίου κόστους'!H76*'Ανάπτυξη δικτύου'!AG88</f>
        <v>214995.36985205917</v>
      </c>
      <c r="H100" s="232">
        <f>'Παραδοχές μοναδιαίου κόστους'!I76*'Ανάπτυξη δικτύου'!AJ88</f>
        <v>108574.19965347194</v>
      </c>
      <c r="I100" s="206">
        <f t="shared" ref="I100:I103" si="39">D100+E100+F100+G100+H100</f>
        <v>890431.46741303476</v>
      </c>
    </row>
    <row r="101" spans="2:9" outlineLevel="1" x14ac:dyDescent="0.25">
      <c r="B101" s="52" t="s">
        <v>288</v>
      </c>
      <c r="C101" s="101" t="s">
        <v>47</v>
      </c>
      <c r="D101" s="232">
        <f>'Παραδοχές μοναδιαίου κόστους'!E77*'Ανάπτυξη δικτύου'!X89*0.5854</f>
        <v>53307.524524416142</v>
      </c>
      <c r="E101" s="232">
        <f>'Παραδοχές μοναδιαίου κόστους'!F77*'Ανάπτυξη δικτύου'!AA89</f>
        <v>119055.9447983015</v>
      </c>
      <c r="F101" s="232">
        <f>'Παραδοχές μοναδιαίου κόστους'!G77*'Ανάπτυξη δικτύου'!AD89</f>
        <v>74329.522292993643</v>
      </c>
      <c r="G101" s="232">
        <f>'Παραδοχές μοναδιαίου κόστους'!H77*'Ανάπτυξη δικτύου'!AG89</f>
        <v>17375.732484076434</v>
      </c>
      <c r="H101" s="232">
        <f>'Παραδοχές μοναδιαίου κόστους'!I77*'Ανάπτυξη δικτύου'!AJ89</f>
        <v>8687.866242038217</v>
      </c>
      <c r="I101" s="206">
        <f t="shared" si="39"/>
        <v>272756.59034182591</v>
      </c>
    </row>
    <row r="102" spans="2:9" outlineLevel="1" x14ac:dyDescent="0.25">
      <c r="B102" s="52" t="s">
        <v>289</v>
      </c>
      <c r="C102" s="101" t="s">
        <v>47</v>
      </c>
      <c r="D102" s="232">
        <f>'Παραδοχές μοναδιαίου κόστους'!E78*'Ανάπτυξη δικτύου'!X90*0.6387</f>
        <v>104355.06400000001</v>
      </c>
      <c r="E102" s="232">
        <f>'Παραδοχές μοναδιαίου κόστους'!F78*'Ανάπτυξη δικτύου'!AA90</f>
        <v>493093.33333333337</v>
      </c>
      <c r="F102" s="232">
        <f>'Παραδοχές μοναδιαίου κόστους'!G78*'Ανάπτυξη δικτύου'!AD90</f>
        <v>323253.33333333337</v>
      </c>
      <c r="G102" s="232">
        <f>'Παραδοχές μοναδιαίου κόστους'!H78*'Ανάπτυξη δικτύου'!AG90</f>
        <v>314746.66666666669</v>
      </c>
      <c r="H102" s="232">
        <f>'Παραδοχές μοναδιαίου κόστους'!I78*'Ανάπτυξη δικτύου'!AJ90</f>
        <v>157520.00000000003</v>
      </c>
      <c r="I102" s="206">
        <f t="shared" si="39"/>
        <v>1392968.3973333335</v>
      </c>
    </row>
    <row r="103" spans="2:9" outlineLevel="1" x14ac:dyDescent="0.25">
      <c r="B103" s="52" t="s">
        <v>290</v>
      </c>
      <c r="C103" s="101" t="s">
        <v>47</v>
      </c>
      <c r="D103" s="232">
        <f>'Παραδοχές μοναδιαίου κόστους'!E79*'Ανάπτυξη δικτύου'!X91*0.6387</f>
        <v>99296.56</v>
      </c>
      <c r="E103" s="232">
        <f>'Παραδοχές μοναδιαίου κόστους'!F79*'Ανάπτυξη δικτύου'!AA91</f>
        <v>444400</v>
      </c>
      <c r="F103" s="232">
        <f>'Παραδοχές μοναδιαίου κόστους'!G79*'Ανάπτυξη δικτύου'!AD91</f>
        <v>374000</v>
      </c>
      <c r="G103" s="232">
        <f>'Παραδοχές μοναδιαίου κόστους'!H79*'Ανάπτυξη δικτύου'!AG91</f>
        <v>315333.33333333331</v>
      </c>
      <c r="H103" s="232">
        <f>'Παραδοχές μοναδιαίου κόστους'!I79*'Ανάπτυξη δικτύου'!AJ91</f>
        <v>157520</v>
      </c>
      <c r="I103" s="206">
        <f t="shared" si="39"/>
        <v>1390549.8933333333</v>
      </c>
    </row>
    <row r="104" spans="2:9" outlineLevel="1" x14ac:dyDescent="0.25">
      <c r="B104" s="52" t="s">
        <v>291</v>
      </c>
      <c r="C104" s="101" t="s">
        <v>47</v>
      </c>
      <c r="D104" s="232">
        <f>'Παραδοχές μοναδιαίου κόστους'!E80*'Ανάπτυξη δικτύου'!X92*0.6</f>
        <v>39520</v>
      </c>
      <c r="E104" s="232">
        <f>'Παραδοχές μοναδιαίου κόστους'!F80*'Ανάπτυξη δικτύου'!AA92</f>
        <v>36733.333333333336</v>
      </c>
      <c r="F104" s="232">
        <f>'Παραδοχές μοναδιαίου κόστους'!G80*'Ανάπτυξη δικτύου'!AD92</f>
        <v>8613.3333333333339</v>
      </c>
      <c r="G104" s="232">
        <f>'Παραδοχές μοναδιαίου κόστους'!H80*'Ανάπτυξη δικτύου'!AG92</f>
        <v>7600</v>
      </c>
      <c r="H104" s="232">
        <f>'Παραδοχές μοναδιαίου κόστους'!I80*'Ανάπτυξη δικτύου'!AJ92</f>
        <v>5066.666666666667</v>
      </c>
      <c r="I104" s="206">
        <f t="shared" ref="I104:I107" si="40">D104+E104+F104+G104+H104</f>
        <v>97533.333333333343</v>
      </c>
    </row>
    <row r="105" spans="2:9" outlineLevel="1" x14ac:dyDescent="0.25">
      <c r="B105" s="52" t="s">
        <v>307</v>
      </c>
      <c r="C105" s="101" t="s">
        <v>47</v>
      </c>
      <c r="D105" s="232">
        <f>'Παραδοχές μοναδιαίου κόστους'!E81*'Ανάπτυξη δικτύου'!X93*0.5854</f>
        <v>11018.52888888889</v>
      </c>
      <c r="E105" s="232">
        <f>'Παραδοχές μοναδιαίου κόστους'!F81*'Ανάπτυξη δικτύου'!AA93</f>
        <v>27219.829059829062</v>
      </c>
      <c r="F105" s="232">
        <f>'Παραδοχές μοναδιαίου κόστους'!G81*'Ανάπτυξη δικτύου'!AD93</f>
        <v>29246.837606837609</v>
      </c>
      <c r="G105" s="232">
        <f>'Παραδοχές μοναδιαίου κόστους'!H81*'Ανάπτυξη δικτύου'!AG93</f>
        <v>17374.358974358976</v>
      </c>
      <c r="H105" s="232">
        <f>'Παραδοχές μοναδιαίου κόστους'!I81*'Ανάπτυξη δικτύου'!AJ93</f>
        <v>14189.05982905983</v>
      </c>
      <c r="I105" s="206">
        <f t="shared" si="40"/>
        <v>99048.614358974373</v>
      </c>
    </row>
    <row r="106" spans="2:9" outlineLevel="1" x14ac:dyDescent="0.25">
      <c r="B106" s="52" t="s">
        <v>304</v>
      </c>
      <c r="C106" s="101" t="s">
        <v>47</v>
      </c>
      <c r="D106" s="232">
        <f>'Παραδοχές μοναδιαίου κόστους'!E82*'Ανάπτυξη δικτύου'!X94*0.6387</f>
        <v>13131.453641025642</v>
      </c>
      <c r="E106" s="232">
        <f>'Παραδοχές μοναδιαίου κόστους'!F82*'Ανάπτυξη δικτύου'!AA94</f>
        <v>27219.829059829062</v>
      </c>
      <c r="F106" s="232">
        <f>'Παραδοχές μοναδιαίου κόστους'!G82*'Ανάπτυξη δικτύου'!AD94</f>
        <v>43435.897435897437</v>
      </c>
      <c r="G106" s="232">
        <f>'Παραδοχές μοναδιαίου κόστους'!H82*'Ανάπτυξη δικτύου'!AG94</f>
        <v>20270.085470085472</v>
      </c>
      <c r="H106" s="232">
        <f>'Παραδοχές μοναδιαίου κόστους'!I82*'Ανάπτυξη δικτύου'!AJ94</f>
        <v>14189.05982905983</v>
      </c>
      <c r="I106" s="206">
        <f t="shared" si="40"/>
        <v>118246.32543589744</v>
      </c>
    </row>
    <row r="107" spans="2:9" outlineLevel="1" x14ac:dyDescent="0.25">
      <c r="B107" s="52" t="s">
        <v>305</v>
      </c>
      <c r="C107" s="101" t="s">
        <v>47</v>
      </c>
      <c r="D107" s="232">
        <f>'Παραδοχές μοναδιαίου κόστους'!E83*'Ανάπτυξη δικτύου'!X95*0.6387</f>
        <v>12391.653435897439</v>
      </c>
      <c r="E107" s="232">
        <f>'Παραδοχές μοναδιαίου κόστους'!F83*'Ανάπτυξη δικτύου'!AA95</f>
        <v>27219.829059829062</v>
      </c>
      <c r="F107" s="232">
        <f>'Παραδοχές μοναδιαίου κόστους'!G83*'Ανάπτυξη δικτύου'!AD95</f>
        <v>37644.444444444445</v>
      </c>
      <c r="G107" s="232">
        <f>'Παραδοχές μοναδιαίου κόστους'!H83*'Ανάπτυξη δικτύου'!AG95</f>
        <v>17374.358974358976</v>
      </c>
      <c r="H107" s="232">
        <f>'Παραδοχές μοναδιαίου κόστους'!I83*'Ανάπτυξη δικτύου'!AJ95</f>
        <v>14189.05982905983</v>
      </c>
      <c r="I107" s="206">
        <f t="shared" si="40"/>
        <v>108819.34574358976</v>
      </c>
    </row>
    <row r="108" spans="2:9" outlineLevel="1" x14ac:dyDescent="0.25">
      <c r="B108" s="52" t="s">
        <v>306</v>
      </c>
      <c r="C108" s="101" t="s">
        <v>47</v>
      </c>
      <c r="D108" s="232">
        <f>'Παραδοχές μοναδιαίου κόστους'!E84*'Ανάπτυξη δικτύου'!X96*0.6</f>
        <v>26582.769230769234</v>
      </c>
      <c r="E108" s="232">
        <f>'Παραδοχές μοναδιαίου κόστους'!F84*'Ανάπτυξη δικτύου'!AA96</f>
        <v>50675.213675213679</v>
      </c>
      <c r="F108" s="232">
        <f>'Παραδοχές μοναδιαίου κόστους'!G84*'Ανάπτυξη δικτύου'!AD96</f>
        <v>58783.247863247867</v>
      </c>
      <c r="G108" s="232">
        <f>'Παραδοχές μοναδιαίου κόστους'!H84*'Ανάπτυξη δικτύου'!AG96</f>
        <v>53281.367521367523</v>
      </c>
      <c r="H108" s="232">
        <f>'Παραδοχές μοναδιαίου κόστους'!I84*'Ανάπτυξη δικτύου'!AJ96</f>
        <v>34748.717948717953</v>
      </c>
      <c r="I108" s="206">
        <f t="shared" ref="I108:I109" si="41">D108+E108+F108+G108+H108</f>
        <v>224071.31623931625</v>
      </c>
    </row>
    <row r="109" spans="2:9" outlineLevel="1" x14ac:dyDescent="0.25">
      <c r="B109" s="52" t="s">
        <v>308</v>
      </c>
      <c r="C109" s="101" t="s">
        <v>47</v>
      </c>
      <c r="D109" s="232">
        <f>'Παραδοχές μοναδιαίου κόστους'!E85*'Ανάπτυξη δικτύου'!X97*0.5854</f>
        <v>20680.931145299146</v>
      </c>
      <c r="E109" s="232">
        <f>'Παραδοχές μοναδιαίου κόστους'!F85*'Ανάπτυξη δικτύου'!AA97</f>
        <v>47489.914529914531</v>
      </c>
      <c r="F109" s="232">
        <f>'Παραδοχές μοναδιαίου κόστους'!G85*'Ανάπτυξη δικτύου'!AD97</f>
        <v>53281.367521367523</v>
      </c>
      <c r="G109" s="232">
        <f>'Παραδοχές μοναδιαίου κόστους'!H85*'Ανάπτυξη δικτύου'!AG97</f>
        <v>44015.042735042742</v>
      </c>
      <c r="H109" s="232">
        <f>'Παραδοχές μοναδιαίου κόστους'!I85*'Ανάπτυξη δικτύου'!AJ97</f>
        <v>34748.717948717953</v>
      </c>
      <c r="I109" s="206">
        <f t="shared" si="41"/>
        <v>200215.97388034192</v>
      </c>
    </row>
    <row r="110" spans="2:9" outlineLevel="1" x14ac:dyDescent="0.25">
      <c r="B110" s="52"/>
      <c r="C110" s="101"/>
      <c r="D110" s="232"/>
      <c r="E110" s="232"/>
      <c r="F110" s="232"/>
      <c r="G110" s="232"/>
      <c r="H110" s="232"/>
      <c r="I110" s="206"/>
    </row>
    <row r="111" spans="2:9" outlineLevel="1" x14ac:dyDescent="0.25">
      <c r="B111" s="349" t="s">
        <v>90</v>
      </c>
      <c r="C111" s="350"/>
      <c r="D111" s="350"/>
      <c r="E111" s="350"/>
      <c r="F111" s="350"/>
      <c r="G111" s="350"/>
      <c r="H111" s="350"/>
      <c r="I111" s="351"/>
    </row>
    <row r="112" spans="2:9" outlineLevel="1" x14ac:dyDescent="0.25">
      <c r="B112" s="52" t="s">
        <v>84</v>
      </c>
      <c r="C112" s="101" t="s">
        <v>47</v>
      </c>
      <c r="D112" s="233">
        <f t="shared" ref="D112:I112" si="42">SUM(D96:D110)</f>
        <v>549253.81626045215</v>
      </c>
      <c r="E112" s="233">
        <f t="shared" si="42"/>
        <v>2161087.4559480743</v>
      </c>
      <c r="F112" s="233">
        <f t="shared" si="42"/>
        <v>1669440.8820047108</v>
      </c>
      <c r="G112" s="233">
        <f t="shared" si="42"/>
        <v>1161140.7277860527</v>
      </c>
      <c r="H112" s="233">
        <f t="shared" si="42"/>
        <v>614038.32420929847</v>
      </c>
      <c r="I112" s="207">
        <f t="shared" si="42"/>
        <v>6154961.2062085895</v>
      </c>
    </row>
    <row r="114" spans="2:37" ht="15.75" x14ac:dyDescent="0.25">
      <c r="B114" s="352" t="s">
        <v>228</v>
      </c>
      <c r="C114" s="352"/>
      <c r="D114" s="352"/>
      <c r="E114" s="352"/>
      <c r="F114" s="352"/>
      <c r="G114" s="352"/>
      <c r="H114" s="352"/>
      <c r="I114" s="352"/>
    </row>
    <row r="115" spans="2:37" ht="5.45" customHeight="1" outlineLevel="1" x14ac:dyDescent="0.2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row>
    <row r="116" spans="2:37" outlineLevel="1" x14ac:dyDescent="0.25">
      <c r="B116" s="81"/>
      <c r="C116" s="63"/>
      <c r="D116" s="88">
        <f>$C$3</f>
        <v>2023</v>
      </c>
      <c r="E116" s="88">
        <f>$C$3+1</f>
        <v>2024</v>
      </c>
      <c r="F116" s="88">
        <f>$C$3+2</f>
        <v>2025</v>
      </c>
      <c r="G116" s="88">
        <f>$C$3+3</f>
        <v>2026</v>
      </c>
      <c r="H116" s="88">
        <f>$C$3+4</f>
        <v>2027</v>
      </c>
      <c r="I116" s="87" t="str">
        <f xml:space="preserve"> D116&amp;" - "&amp;H116</f>
        <v>2023 - 2027</v>
      </c>
    </row>
    <row r="117" spans="2:37" outlineLevel="1" x14ac:dyDescent="0.25">
      <c r="B117" s="281" t="s">
        <v>283</v>
      </c>
      <c r="C117" s="101" t="s">
        <v>47</v>
      </c>
      <c r="D117" s="232">
        <f>'Παραδοχές μοναδιαίου κόστους'!E92*'Ανάπτυξη δικτύου'!X107</f>
        <v>0</v>
      </c>
      <c r="E117" s="232">
        <f>'Παραδοχές μοναδιαίου κόστους'!F92*'Ανάπτυξη δικτύου'!AA107</f>
        <v>0</v>
      </c>
      <c r="F117" s="232">
        <f>'Παραδοχές μοναδιαίου κόστους'!G92*'Ανάπτυξη δικτύου'!AD107</f>
        <v>0</v>
      </c>
      <c r="G117" s="232">
        <f>'Παραδοχές μοναδιαίου κόστους'!H92*'Ανάπτυξη δικτύου'!AG107</f>
        <v>0</v>
      </c>
      <c r="H117" s="232">
        <f>'Παραδοχές μοναδιαίου κόστους'!I92*'Ανάπτυξη δικτύου'!AJ107</f>
        <v>0</v>
      </c>
      <c r="I117" s="206">
        <f t="shared" ref="I117:I120" si="43">D117+E117+F117+G117+H117</f>
        <v>0</v>
      </c>
    </row>
    <row r="118" spans="2:37" outlineLevel="1" x14ac:dyDescent="0.25">
      <c r="B118" s="52" t="s">
        <v>284</v>
      </c>
      <c r="C118" s="101" t="s">
        <v>47</v>
      </c>
      <c r="D118" s="232">
        <f>'Παραδοχές μοναδιαίου κόστους'!E95*'Ανάπτυξη δικτύου'!X108</f>
        <v>0</v>
      </c>
      <c r="E118" s="232">
        <f>'Παραδοχές μοναδιαίου κόστους'!F95*'Ανάπτυξη δικτύου'!AA108</f>
        <v>0</v>
      </c>
      <c r="F118" s="232">
        <f>'Παραδοχές μοναδιαίου κόστους'!G95*'Ανάπτυξη δικτύου'!AD108</f>
        <v>0</v>
      </c>
      <c r="G118" s="232">
        <f>'Παραδοχές μοναδιαίου κόστους'!H95*'Ανάπτυξη δικτύου'!AG108</f>
        <v>0</v>
      </c>
      <c r="H118" s="232">
        <f>'Παραδοχές μοναδιαίου κόστους'!I95*'Ανάπτυξη δικτύου'!AJ108</f>
        <v>0</v>
      </c>
      <c r="I118" s="206">
        <f t="shared" si="43"/>
        <v>0</v>
      </c>
    </row>
    <row r="119" spans="2:37" outlineLevel="1" x14ac:dyDescent="0.25">
      <c r="B119" s="52" t="s">
        <v>285</v>
      </c>
      <c r="C119" s="101" t="s">
        <v>47</v>
      </c>
      <c r="D119" s="232">
        <f>'Παραδοχές μοναδιαίου κόστους'!E97*'Ανάπτυξη δικτύου'!X109</f>
        <v>0</v>
      </c>
      <c r="E119" s="232">
        <f>'Παραδοχές μοναδιαίου κόστους'!F97*'Ανάπτυξη δικτύου'!AA109</f>
        <v>0</v>
      </c>
      <c r="F119" s="232">
        <f>'Παραδοχές μοναδιαίου κόστους'!G97*'Ανάπτυξη δικτύου'!AD109</f>
        <v>0</v>
      </c>
      <c r="G119" s="232">
        <f>'Παραδοχές μοναδιαίου κόστους'!H97*'Ανάπτυξη δικτύου'!AG109</f>
        <v>0</v>
      </c>
      <c r="H119" s="232">
        <f>'Παραδοχές μοναδιαίου κόστους'!I97*'Ανάπτυξη δικτύου'!AJ109</f>
        <v>0</v>
      </c>
      <c r="I119" s="206">
        <f t="shared" si="43"/>
        <v>0</v>
      </c>
    </row>
    <row r="120" spans="2:37" outlineLevel="1" x14ac:dyDescent="0.25">
      <c r="B120" s="52" t="s">
        <v>286</v>
      </c>
      <c r="C120" s="101" t="s">
        <v>47</v>
      </c>
      <c r="D120" s="232">
        <f>'Παραδοχές μοναδιαίου κόστους'!E95*'Ανάπτυξη δικτύου'!X110*0.5854</f>
        <v>58540</v>
      </c>
      <c r="E120" s="232">
        <f>'Παραδοχές μοναδιαίου κόστους'!F95*'Ανάπτυξη δικτύου'!AA110</f>
        <v>50000</v>
      </c>
      <c r="F120" s="232">
        <f>'Παραδοχές μοναδιαίου κόστους'!G98*'Ανάπτυξη δικτύου'!Z115</f>
        <v>50000</v>
      </c>
      <c r="G120" s="232">
        <f>'Παραδοχές μοναδιαίου κόστους'!H98*'Ανάπτυξη δικτύου'!AG115</f>
        <v>0</v>
      </c>
      <c r="H120" s="232">
        <f>'Παραδοχές μοναδιαίου κόστους'!I98*'Ανάπτυξη δικτύου'!AJ115</f>
        <v>0</v>
      </c>
      <c r="I120" s="206">
        <f t="shared" si="43"/>
        <v>158540</v>
      </c>
    </row>
    <row r="121" spans="2:37" outlineLevel="1" x14ac:dyDescent="0.25">
      <c r="B121" s="52" t="s">
        <v>287</v>
      </c>
      <c r="C121" s="101" t="s">
        <v>47</v>
      </c>
      <c r="D121" s="232">
        <f>'Παραδοχές μοναδιαίου κόστους'!E96*'Ανάπτυξη δικτύου'!X111*0.5854</f>
        <v>29270</v>
      </c>
      <c r="E121" s="232">
        <f>'Παραδοχές μοναδιαίου κόστους'!F96*'Ανάπτυξη δικτύου'!AA111</f>
        <v>100000</v>
      </c>
      <c r="F121" s="232">
        <f>'Παραδοχές μοναδιαίου κόστους'!G96*'Ανάπτυξη δικτύου'!AD111</f>
        <v>0</v>
      </c>
      <c r="G121" s="232">
        <f>'Παραδοχές μοναδιαίου κόστους'!H96*'Ανάπτυξη δικτύου'!AG111</f>
        <v>0</v>
      </c>
      <c r="H121" s="232">
        <f>'Παραδοχές μοναδιαίου κόστους'!I96*'Ανάπτυξη δικτύου'!AJ111</f>
        <v>0</v>
      </c>
      <c r="I121" s="206">
        <f t="shared" ref="I121:I124" si="44">D121+E121+F121+G121+H121</f>
        <v>129270</v>
      </c>
    </row>
    <row r="122" spans="2:37" outlineLevel="1" x14ac:dyDescent="0.25">
      <c r="B122" s="52" t="s">
        <v>288</v>
      </c>
      <c r="C122" s="101" t="s">
        <v>47</v>
      </c>
      <c r="D122" s="232">
        <f>'Παραδοχές μοναδιαίου κόστους'!E97*'Ανάπτυξη δικτύου'!X112*0.5854</f>
        <v>58540</v>
      </c>
      <c r="E122" s="232">
        <f>'Παραδοχές μοναδιαίου κόστους'!F97*'Ανάπτυξη δικτύου'!AA112</f>
        <v>0</v>
      </c>
      <c r="F122" s="232">
        <f>'Παραδοχές μοναδιαίου κόστους'!G99*'Ανάπτυξη δικτύου'!AD112</f>
        <v>0</v>
      </c>
      <c r="G122" s="232">
        <f>'Παραδοχές μοναδιαίου κόστους'!H99*'Ανάπτυξη δικτύου'!AG112</f>
        <v>0</v>
      </c>
      <c r="H122" s="232">
        <f>'Παραδοχές μοναδιαίου κόστους'!I99*'Ανάπτυξη δικτύου'!AJ112</f>
        <v>0</v>
      </c>
      <c r="I122" s="206">
        <f t="shared" si="44"/>
        <v>58540</v>
      </c>
    </row>
    <row r="123" spans="2:37" outlineLevel="1" x14ac:dyDescent="0.25">
      <c r="B123" s="52" t="s">
        <v>289</v>
      </c>
      <c r="C123" s="101" t="s">
        <v>47</v>
      </c>
      <c r="D123" s="232">
        <f>'Παραδοχές μοναδιαίου κόστους'!E98*'Ανάπτυξη δικτύου'!X113*0.6387</f>
        <v>31935.000000000004</v>
      </c>
      <c r="E123" s="232">
        <f>'Παραδοχές μοναδιαίου κόστους'!F98*'Ανάπτυξη δικτύου'!AA113</f>
        <v>150000</v>
      </c>
      <c r="F123" s="232">
        <f>'Παραδοχές μοναδιαίου κόστους'!G107*'Ανάπτυξη δικτύου'!AD113</f>
        <v>0</v>
      </c>
      <c r="G123" s="232">
        <f>'Παραδοχές μοναδιαίου κόστους'!H107*'Ανάπτυξη δικτύου'!AG113</f>
        <v>0</v>
      </c>
      <c r="H123" s="232">
        <f>'Παραδοχές μοναδιαίου κόστους'!I107*'Ανάπτυξη δικτύου'!AJ113</f>
        <v>0</v>
      </c>
      <c r="I123" s="206">
        <f t="shared" si="44"/>
        <v>181935</v>
      </c>
    </row>
    <row r="124" spans="2:37" outlineLevel="1" x14ac:dyDescent="0.25">
      <c r="B124" s="52" t="s">
        <v>290</v>
      </c>
      <c r="C124" s="101" t="s">
        <v>47</v>
      </c>
      <c r="D124" s="232">
        <f>'Παραδοχές μοναδιαίου κόστους'!E99*'Ανάπτυξη δικτύου'!X114*0.6387</f>
        <v>31935.000000000004</v>
      </c>
      <c r="E124" s="232">
        <f>'Παραδοχές μοναδιαίου κόστους'!F99*'Ανάπτυξη δικτύου'!AA114</f>
        <v>150000</v>
      </c>
      <c r="F124" s="232">
        <f>'Παραδοχές μοναδιαίου κόστους'!G108*'Ανάπτυξη δικτύου'!AD125</f>
        <v>0</v>
      </c>
      <c r="G124" s="232">
        <f>'Παραδοχές μοναδιαίου κόστους'!H108*'Ανάπτυξη δικτύου'!AG125</f>
        <v>0</v>
      </c>
      <c r="H124" s="232">
        <f>'Παραδοχές μοναδιαίου κόστους'!I108*'Ανάπτυξη δικτύου'!AJ125</f>
        <v>0</v>
      </c>
      <c r="I124" s="206">
        <f t="shared" si="44"/>
        <v>181935</v>
      </c>
    </row>
    <row r="125" spans="2:37" outlineLevel="1" x14ac:dyDescent="0.25">
      <c r="B125" s="52" t="s">
        <v>291</v>
      </c>
      <c r="C125" s="101" t="s">
        <v>47</v>
      </c>
      <c r="D125" s="232">
        <f>'Παραδοχές μοναδιαίου κόστους'!E100*'Ανάπτυξη δικτύου'!X115*0.6</f>
        <v>30000</v>
      </c>
      <c r="E125" s="232">
        <v>50000</v>
      </c>
      <c r="F125" s="232">
        <v>0</v>
      </c>
      <c r="G125" s="232">
        <f>'Παραδοχές μοναδιαίου κόστους'!H109*'Ανάπτυξη δικτύου'!AG126</f>
        <v>0</v>
      </c>
      <c r="H125" s="232">
        <f>'Παραδοχές μοναδιαίου κόστους'!I109*'Ανάπτυξη δικτύου'!AJ126</f>
        <v>0</v>
      </c>
      <c r="I125" s="206">
        <f t="shared" ref="I125" si="45">D125+E125+F125+G125+H125</f>
        <v>80000</v>
      </c>
    </row>
    <row r="126" spans="2:37" outlineLevel="1" x14ac:dyDescent="0.25">
      <c r="B126" s="52" t="s">
        <v>307</v>
      </c>
      <c r="C126" s="101" t="s">
        <v>47</v>
      </c>
      <c r="D126" s="232"/>
      <c r="E126" s="232"/>
      <c r="F126" s="232"/>
      <c r="G126" s="232"/>
      <c r="H126" s="232"/>
      <c r="I126" s="206"/>
    </row>
    <row r="127" spans="2:37" outlineLevel="1" x14ac:dyDescent="0.25">
      <c r="B127" s="52" t="s">
        <v>304</v>
      </c>
      <c r="C127" s="101" t="s">
        <v>47</v>
      </c>
      <c r="D127" s="232"/>
      <c r="E127" s="232"/>
      <c r="F127" s="232"/>
      <c r="G127" s="232"/>
      <c r="H127" s="232"/>
      <c r="I127" s="206"/>
    </row>
    <row r="128" spans="2:37" outlineLevel="1" x14ac:dyDescent="0.25">
      <c r="B128" s="52" t="s">
        <v>305</v>
      </c>
      <c r="C128" s="101" t="s">
        <v>47</v>
      </c>
      <c r="D128" s="232"/>
      <c r="E128" s="232"/>
      <c r="F128" s="232"/>
      <c r="G128" s="232"/>
      <c r="H128" s="232"/>
      <c r="I128" s="206"/>
    </row>
    <row r="129" spans="2:37" outlineLevel="1" x14ac:dyDescent="0.25">
      <c r="B129" s="52" t="s">
        <v>306</v>
      </c>
      <c r="C129" s="101" t="s">
        <v>47</v>
      </c>
      <c r="D129" s="232"/>
      <c r="E129" s="232"/>
      <c r="F129" s="232"/>
      <c r="G129" s="232"/>
      <c r="H129" s="232"/>
      <c r="I129" s="206"/>
    </row>
    <row r="130" spans="2:37" outlineLevel="1" x14ac:dyDescent="0.25">
      <c r="B130" s="52" t="s">
        <v>308</v>
      </c>
      <c r="C130" s="101" t="s">
        <v>47</v>
      </c>
      <c r="D130" s="232"/>
      <c r="E130" s="232"/>
      <c r="F130" s="232"/>
      <c r="G130" s="232"/>
      <c r="H130" s="232"/>
      <c r="I130" s="206"/>
    </row>
    <row r="131" spans="2:37" outlineLevel="1" x14ac:dyDescent="0.25">
      <c r="B131" s="52"/>
      <c r="C131" s="101"/>
      <c r="D131" s="232"/>
      <c r="E131" s="232"/>
      <c r="F131" s="232"/>
      <c r="G131" s="232"/>
      <c r="H131" s="232"/>
      <c r="I131" s="206"/>
    </row>
    <row r="132" spans="2:37" outlineLevel="1" x14ac:dyDescent="0.25">
      <c r="B132" s="349" t="s">
        <v>90</v>
      </c>
      <c r="C132" s="350"/>
      <c r="D132" s="350"/>
      <c r="E132" s="350"/>
      <c r="F132" s="350"/>
      <c r="G132" s="350"/>
      <c r="H132" s="350"/>
      <c r="I132" s="351"/>
    </row>
    <row r="133" spans="2:37" outlineLevel="1" x14ac:dyDescent="0.25">
      <c r="B133" s="52" t="s">
        <v>84</v>
      </c>
      <c r="C133" s="101" t="s">
        <v>47</v>
      </c>
      <c r="D133" s="233">
        <f t="shared" ref="D133:I133" si="46">SUM(D117:D131)</f>
        <v>240220</v>
      </c>
      <c r="E133" s="233">
        <f t="shared" si="46"/>
        <v>500000</v>
      </c>
      <c r="F133" s="233">
        <f t="shared" si="46"/>
        <v>50000</v>
      </c>
      <c r="G133" s="233">
        <f t="shared" si="46"/>
        <v>0</v>
      </c>
      <c r="H133" s="233">
        <f t="shared" si="46"/>
        <v>0</v>
      </c>
      <c r="I133" s="207">
        <f t="shared" si="46"/>
        <v>790220</v>
      </c>
    </row>
    <row r="135" spans="2:37" ht="15.75" x14ac:dyDescent="0.25">
      <c r="B135" s="352" t="s">
        <v>24</v>
      </c>
      <c r="C135" s="352"/>
      <c r="D135" s="352"/>
      <c r="E135" s="352"/>
      <c r="F135" s="352"/>
      <c r="G135" s="352"/>
      <c r="H135" s="352"/>
      <c r="I135" s="352"/>
    </row>
    <row r="136" spans="2:37" ht="5.45" customHeight="1" outlineLevel="1" x14ac:dyDescent="0.2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row>
    <row r="137" spans="2:37" outlineLevel="1" x14ac:dyDescent="0.25">
      <c r="B137" s="81"/>
      <c r="C137" s="63"/>
      <c r="D137" s="88">
        <f>$C$3</f>
        <v>2023</v>
      </c>
      <c r="E137" s="88">
        <f>$C$3+1</f>
        <v>2024</v>
      </c>
      <c r="F137" s="88">
        <f>$C$3+2</f>
        <v>2025</v>
      </c>
      <c r="G137" s="88">
        <f>$C$3+3</f>
        <v>2026</v>
      </c>
      <c r="H137" s="88">
        <f>$C$3+4</f>
        <v>2027</v>
      </c>
      <c r="I137" s="87" t="str">
        <f xml:space="preserve"> D137&amp;" - "&amp;H137</f>
        <v>2023 - 2027</v>
      </c>
    </row>
    <row r="138" spans="2:37" outlineLevel="1" x14ac:dyDescent="0.25">
      <c r="B138" s="281" t="s">
        <v>283</v>
      </c>
      <c r="C138" s="101" t="s">
        <v>47</v>
      </c>
      <c r="D138" s="232">
        <f>'Παραδοχές μοναδιαίου κόστους'!E112*'Ανάπτυξη δικτύου'!X130</f>
        <v>0</v>
      </c>
      <c r="E138" s="232">
        <f>'Παραδοχές μοναδιαίου κόστους'!F112*'Ανάπτυξη δικτύου'!AA130</f>
        <v>0</v>
      </c>
      <c r="F138" s="232">
        <f>'Παραδοχές μοναδιαίου κόστους'!G112*'Ανάπτυξη δικτύου'!AD130</f>
        <v>0</v>
      </c>
      <c r="G138" s="232">
        <f>'Παραδοχές μοναδιαίου κόστους'!H112*'Ανάπτυξη δικτύου'!AG130</f>
        <v>0</v>
      </c>
      <c r="H138" s="232">
        <f>'Παραδοχές μοναδιαίου κόστους'!I112*'Ανάπτυξη δικτύου'!AJ130</f>
        <v>0</v>
      </c>
      <c r="I138" s="206">
        <f t="shared" ref="I138:I141" si="47">D138+E138+F138+G138+H138</f>
        <v>0</v>
      </c>
    </row>
    <row r="139" spans="2:37" outlineLevel="1" x14ac:dyDescent="0.25">
      <c r="B139" s="52" t="s">
        <v>284</v>
      </c>
      <c r="C139" s="101" t="s">
        <v>47</v>
      </c>
      <c r="D139" s="232">
        <f>'Παραδοχές μοναδιαίου κόστους'!E113*'Ανάπτυξη δικτύου'!X131</f>
        <v>0</v>
      </c>
      <c r="E139" s="232">
        <f>'Παραδοχές μοναδιαίου κόστους'!F115*'Ανάπτυξη δικτύου'!AA131</f>
        <v>0</v>
      </c>
      <c r="F139" s="232">
        <f>'Παραδοχές μοναδιαίου κόστους'!G115*'Ανάπτυξη δικτύου'!AD131</f>
        <v>0</v>
      </c>
      <c r="G139" s="232">
        <f>'Παραδοχές μοναδιαίου κόστους'!H115*'Ανάπτυξη δικτύου'!AG131</f>
        <v>0</v>
      </c>
      <c r="H139" s="232">
        <f>'Παραδοχές μοναδιαίου κόστους'!I115*'Ανάπτυξη δικτύου'!AJ131</f>
        <v>0</v>
      </c>
      <c r="I139" s="206">
        <f t="shared" si="47"/>
        <v>0</v>
      </c>
    </row>
    <row r="140" spans="2:37" outlineLevel="1" x14ac:dyDescent="0.25">
      <c r="B140" s="52" t="s">
        <v>285</v>
      </c>
      <c r="C140" s="101" t="s">
        <v>47</v>
      </c>
      <c r="D140" s="232">
        <f>'Παραδοχές μοναδιαίου κόστους'!E114*'Ανάπτυξη δικτύου'!X132</f>
        <v>0</v>
      </c>
      <c r="E140" s="232">
        <f>'Παραδοχές μοναδιαίου κόστους'!F117*'Ανάπτυξη δικτύου'!AA132</f>
        <v>0</v>
      </c>
      <c r="F140" s="232">
        <f>'Παραδοχές μοναδιαίου κόστους'!G117*'Ανάπτυξη δικτύου'!AD132</f>
        <v>0</v>
      </c>
      <c r="G140" s="232">
        <f>'Παραδοχές μοναδιαίου κόστους'!H117*'Ανάπτυξη δικτύου'!AG132</f>
        <v>0</v>
      </c>
      <c r="H140" s="232">
        <f>'Παραδοχές μοναδιαίου κόστους'!I117*'Ανάπτυξη δικτύου'!AJ132</f>
        <v>0</v>
      </c>
      <c r="I140" s="206">
        <f t="shared" si="47"/>
        <v>0</v>
      </c>
    </row>
    <row r="141" spans="2:37" outlineLevel="1" x14ac:dyDescent="0.25">
      <c r="B141" s="52" t="s">
        <v>286</v>
      </c>
      <c r="C141" s="101" t="s">
        <v>47</v>
      </c>
      <c r="D141" s="232">
        <f>'Παραδοχές μοναδιαίου κόστους'!E115*'Ανάπτυξη δικτύου'!X133</f>
        <v>0</v>
      </c>
      <c r="E141" s="232">
        <f>'Παραδοχές μοναδιαίου κόστους'!F118*'Ανάπτυξη δικτύου'!AA133</f>
        <v>0</v>
      </c>
      <c r="F141" s="232">
        <f>'Παραδοχές μοναδιαίου κόστους'!G118*'Ανάπτυξη δικτύου'!AD133</f>
        <v>0</v>
      </c>
      <c r="G141" s="232">
        <f>'Παραδοχές μοναδιαίου κόστους'!H118*'Ανάπτυξη δικτύου'!AG133</f>
        <v>0</v>
      </c>
      <c r="H141" s="232">
        <f>'Παραδοχές μοναδιαίου κόστους'!I118*'Ανάπτυξη δικτύου'!AJ133</f>
        <v>0</v>
      </c>
      <c r="I141" s="206">
        <f t="shared" si="47"/>
        <v>0</v>
      </c>
    </row>
    <row r="142" spans="2:37" outlineLevel="1" x14ac:dyDescent="0.25">
      <c r="B142" s="52" t="s">
        <v>287</v>
      </c>
      <c r="C142" s="101" t="s">
        <v>47</v>
      </c>
      <c r="D142" s="232">
        <f>'Παραδοχές μοναδιαίου κόστους'!E116*'Ανάπτυξη δικτύου'!X134</f>
        <v>0</v>
      </c>
      <c r="E142" s="232">
        <f>'Παραδοχές μοναδιαίου κόστους'!F116*'Ανάπτυξη δικτύου'!AA134</f>
        <v>0</v>
      </c>
      <c r="F142" s="232">
        <f>'Παραδοχές μοναδιαίου κόστους'!G116*'Ανάπτυξη δικτύου'!AD134</f>
        <v>0</v>
      </c>
      <c r="G142" s="232">
        <f>'Παραδοχές μοναδιαίου κόστους'!H116*'Ανάπτυξη δικτύου'!AG134</f>
        <v>0</v>
      </c>
      <c r="H142" s="232">
        <f>'Παραδοχές μοναδιαίου κόστους'!I116*'Ανάπτυξη δικτύου'!AJ134</f>
        <v>0</v>
      </c>
      <c r="I142" s="206">
        <f t="shared" ref="I142:I145" si="48">D142+E142+F142+G142+H142</f>
        <v>0</v>
      </c>
    </row>
    <row r="143" spans="2:37" outlineLevel="1" x14ac:dyDescent="0.25">
      <c r="B143" s="52" t="s">
        <v>288</v>
      </c>
      <c r="C143" s="101" t="s">
        <v>47</v>
      </c>
      <c r="D143" s="232">
        <f>'Παραδοχές μοναδιαίου κόστους'!E117*'Ανάπτυξη δικτύου'!X135</f>
        <v>0</v>
      </c>
      <c r="E143" s="232">
        <f>'Παραδοχές μοναδιαίου κόστους'!F119*'Ανάπτυξη δικτύου'!AA135</f>
        <v>0</v>
      </c>
      <c r="F143" s="232">
        <f>'Παραδοχές μοναδιαίου κόστους'!G119*'Ανάπτυξη δικτύου'!AD135</f>
        <v>0</v>
      </c>
      <c r="G143" s="232">
        <f>'Παραδοχές μοναδιαίου κόστους'!H119*'Ανάπτυξη δικτύου'!AG135</f>
        <v>0</v>
      </c>
      <c r="H143" s="232">
        <f>'Παραδοχές μοναδιαίου κόστους'!I119*'Ανάπτυξη δικτύου'!AJ135</f>
        <v>0</v>
      </c>
      <c r="I143" s="206">
        <f t="shared" si="48"/>
        <v>0</v>
      </c>
    </row>
    <row r="144" spans="2:37" outlineLevel="1" x14ac:dyDescent="0.25">
      <c r="B144" s="52" t="s">
        <v>289</v>
      </c>
      <c r="C144" s="101" t="s">
        <v>47</v>
      </c>
      <c r="D144" s="232">
        <f>'Παραδοχές μοναδιαίου κόστους'!E118*'Ανάπτυξη δικτύου'!X136</f>
        <v>0</v>
      </c>
      <c r="E144" s="232">
        <f>'Παραδοχές μοναδιαίου κόστους'!F127*'Ανάπτυξη δικτύου'!AA136</f>
        <v>0</v>
      </c>
      <c r="F144" s="232">
        <f>'Παραδοχές μοναδιαίου κόστους'!G127*'Ανάπτυξη δικτύου'!AD136</f>
        <v>0</v>
      </c>
      <c r="G144" s="232">
        <f>'Παραδοχές μοναδιαίου κόστους'!H127*'Ανάπτυξη δικτύου'!AG136</f>
        <v>0</v>
      </c>
      <c r="H144" s="232">
        <f>'Παραδοχές μοναδιαίου κόστους'!I127*'Ανάπτυξη δικτύου'!AJ136</f>
        <v>0</v>
      </c>
      <c r="I144" s="206">
        <f t="shared" si="48"/>
        <v>0</v>
      </c>
    </row>
    <row r="145" spans="2:37" outlineLevel="1" x14ac:dyDescent="0.25">
      <c r="B145" s="52" t="s">
        <v>290</v>
      </c>
      <c r="C145" s="101" t="s">
        <v>47</v>
      </c>
      <c r="D145" s="232">
        <f>'Παραδοχές μοναδιαίου κόστους'!E119*'Ανάπτυξη δικτύου'!X137</f>
        <v>0</v>
      </c>
      <c r="E145" s="232">
        <f>'Παραδοχές μοναδιαίου κόστους'!F128*'Ανάπτυξη δικτύου'!AA137</f>
        <v>0</v>
      </c>
      <c r="F145" s="232">
        <f>'Παραδοχές μοναδιαίου κόστους'!G128*'Ανάπτυξη δικτύου'!AD137</f>
        <v>0</v>
      </c>
      <c r="G145" s="232">
        <f>'Παραδοχές μοναδιαίου κόστους'!H128*'Ανάπτυξη δικτύου'!AG137</f>
        <v>0</v>
      </c>
      <c r="H145" s="232">
        <f>'Παραδοχές μοναδιαίου κόστους'!I128*'Ανάπτυξη δικτύου'!AJ137</f>
        <v>0</v>
      </c>
      <c r="I145" s="206">
        <f t="shared" si="48"/>
        <v>0</v>
      </c>
    </row>
    <row r="146" spans="2:37" outlineLevel="1" x14ac:dyDescent="0.25">
      <c r="B146" s="52" t="s">
        <v>291</v>
      </c>
      <c r="C146" s="101" t="s">
        <v>47</v>
      </c>
      <c r="D146" s="232">
        <f>'Παραδοχές μοναδιαίου κόστους'!E120*'Ανάπτυξη δικτύου'!X138</f>
        <v>0</v>
      </c>
      <c r="E146" s="232">
        <f>'Παραδοχές μοναδιαίου κόστους'!F129*'Ανάπτυξη δικτύου'!AA138</f>
        <v>0</v>
      </c>
      <c r="F146" s="232">
        <f>'Παραδοχές μοναδιαίου κόστους'!G129*'Ανάπτυξη δικτύου'!AD138</f>
        <v>0</v>
      </c>
      <c r="G146" s="232">
        <f>'Παραδοχές μοναδιαίου κόστους'!H129*'Ανάπτυξη δικτύου'!AG138</f>
        <v>0</v>
      </c>
      <c r="H146" s="232">
        <f>'Παραδοχές μοναδιαίου κόστους'!I129*'Ανάπτυξη δικτύου'!AJ138</f>
        <v>0</v>
      </c>
      <c r="I146" s="206">
        <f t="shared" ref="I146:I149" si="49">D146+E146+F146+G146+H146</f>
        <v>0</v>
      </c>
    </row>
    <row r="147" spans="2:37" outlineLevel="1" x14ac:dyDescent="0.25">
      <c r="B147" s="52" t="s">
        <v>307</v>
      </c>
      <c r="C147" s="101" t="s">
        <v>47</v>
      </c>
      <c r="D147" s="232">
        <v>450000</v>
      </c>
      <c r="E147" s="232">
        <f>'Παραδοχές μοναδιαίου κόστους'!F123*'Ανάπτυξη δικτύου'!AA139</f>
        <v>0</v>
      </c>
      <c r="F147" s="232">
        <f>'Παραδοχές μοναδιαίου κόστους'!G123*'Ανάπτυξη δικτύου'!AD139</f>
        <v>0</v>
      </c>
      <c r="G147" s="232">
        <f>'Παραδοχές μοναδιαίου κόστους'!H123*'Ανάπτυξη δικτύου'!AG139</f>
        <v>0</v>
      </c>
      <c r="H147" s="232">
        <f>'Παραδοχές μοναδιαίου κόστους'!I123*'Ανάπτυξη δικτύου'!AJ139</f>
        <v>0</v>
      </c>
      <c r="I147" s="206">
        <f t="shared" si="49"/>
        <v>450000</v>
      </c>
    </row>
    <row r="148" spans="2:37" outlineLevel="1" x14ac:dyDescent="0.25">
      <c r="B148" s="52" t="s">
        <v>304</v>
      </c>
      <c r="C148" s="101" t="s">
        <v>47</v>
      </c>
      <c r="D148" s="232">
        <v>900000</v>
      </c>
      <c r="E148" s="232">
        <f>'Παραδοχές μοναδιαίου κόστους'!F131*'Ανάπτυξη δικτύου'!AA140</f>
        <v>0</v>
      </c>
      <c r="F148" s="232">
        <f>'Παραδοχές μοναδιαίου κόστους'!G131*'Ανάπτυξη δικτύου'!AD140</f>
        <v>0</v>
      </c>
      <c r="G148" s="232">
        <f>'Παραδοχές μοναδιαίου κόστους'!H131*'Ανάπτυξη δικτύου'!AG140</f>
        <v>0</v>
      </c>
      <c r="H148" s="232">
        <f>'Παραδοχές μοναδιαίου κόστους'!I131*'Ανάπτυξη δικτύου'!AJ140</f>
        <v>0</v>
      </c>
      <c r="I148" s="206">
        <f t="shared" si="49"/>
        <v>900000</v>
      </c>
    </row>
    <row r="149" spans="2:37" outlineLevel="1" x14ac:dyDescent="0.25">
      <c r="B149" s="52" t="s">
        <v>305</v>
      </c>
      <c r="C149" s="101" t="s">
        <v>47</v>
      </c>
      <c r="D149" s="232">
        <v>900000</v>
      </c>
      <c r="E149" s="232">
        <f>'Παραδοχές μοναδιαίου κόστους'!F132*'Ανάπτυξη δικτύου'!AA141</f>
        <v>0</v>
      </c>
      <c r="F149" s="232">
        <f>'Παραδοχές μοναδιαίου κόστους'!G132*'Ανάπτυξη δικτύου'!AD141</f>
        <v>0</v>
      </c>
      <c r="G149" s="232">
        <f>'Παραδοχές μοναδιαίου κόστους'!H132*'Ανάπτυξη δικτύου'!AG141</f>
        <v>0</v>
      </c>
      <c r="H149" s="232">
        <f>'Παραδοχές μοναδιαίου κόστους'!I132*'Ανάπτυξη δικτύου'!AJ141</f>
        <v>0</v>
      </c>
      <c r="I149" s="206">
        <f t="shared" si="49"/>
        <v>900000</v>
      </c>
    </row>
    <row r="150" spans="2:37" outlineLevel="1" x14ac:dyDescent="0.25">
      <c r="B150" s="52" t="s">
        <v>306</v>
      </c>
      <c r="C150" s="101" t="s">
        <v>47</v>
      </c>
      <c r="D150" s="232">
        <v>450000</v>
      </c>
      <c r="E150" s="232">
        <f>'Παραδοχές μοναδιαίου κόστους'!F133*'Ανάπτυξη δικτύου'!AA142</f>
        <v>0</v>
      </c>
      <c r="F150" s="232">
        <f>'Παραδοχές μοναδιαίου κόστους'!G133*'Ανάπτυξη δικτύου'!AD142</f>
        <v>0</v>
      </c>
      <c r="G150" s="232">
        <f>'Παραδοχές μοναδιαίου κόστους'!H133*'Ανάπτυξη δικτύου'!AG142</f>
        <v>0</v>
      </c>
      <c r="H150" s="232">
        <f>'Παραδοχές μοναδιαίου κόστους'!I133*'Ανάπτυξη δικτύου'!AJ142</f>
        <v>0</v>
      </c>
      <c r="I150" s="206">
        <f t="shared" ref="I150:I151" si="50">D150+E150+F150+G150+H150</f>
        <v>450000</v>
      </c>
    </row>
    <row r="151" spans="2:37" outlineLevel="1" x14ac:dyDescent="0.25">
      <c r="B151" s="52" t="s">
        <v>308</v>
      </c>
      <c r="C151" s="101" t="s">
        <v>47</v>
      </c>
      <c r="D151" s="232">
        <v>450000</v>
      </c>
      <c r="E151" s="232">
        <f>'Παραδοχές μοναδιαίου κόστους'!F127*'Ανάπτυξη δικτύου'!AA143</f>
        <v>0</v>
      </c>
      <c r="F151" s="232">
        <f>'Παραδοχές μοναδιαίου κόστους'!G127*'Ανάπτυξη δικτύου'!AD143</f>
        <v>0</v>
      </c>
      <c r="G151" s="232">
        <f>'Παραδοχές μοναδιαίου κόστους'!H127*'Ανάπτυξη δικτύου'!AG143</f>
        <v>0</v>
      </c>
      <c r="H151" s="232">
        <f>'Παραδοχές μοναδιαίου κόστους'!I127*'Ανάπτυξη δικτύου'!AJ143</f>
        <v>0</v>
      </c>
      <c r="I151" s="206">
        <f t="shared" si="50"/>
        <v>450000</v>
      </c>
    </row>
    <row r="152" spans="2:37" outlineLevel="1" x14ac:dyDescent="0.25">
      <c r="B152" s="52"/>
      <c r="C152" s="101"/>
      <c r="D152" s="232"/>
      <c r="E152" s="232"/>
      <c r="F152" s="232"/>
      <c r="G152" s="232"/>
      <c r="H152" s="232"/>
      <c r="I152" s="206"/>
    </row>
    <row r="153" spans="2:37" outlineLevel="1" x14ac:dyDescent="0.25">
      <c r="B153" s="349" t="s">
        <v>90</v>
      </c>
      <c r="C153" s="350"/>
      <c r="D153" s="350"/>
      <c r="E153" s="350"/>
      <c r="F153" s="350"/>
      <c r="G153" s="350"/>
      <c r="H153" s="350"/>
      <c r="I153" s="351"/>
    </row>
    <row r="154" spans="2:37" outlineLevel="1" x14ac:dyDescent="0.25">
      <c r="B154" s="52" t="s">
        <v>84</v>
      </c>
      <c r="C154" s="101" t="s">
        <v>47</v>
      </c>
      <c r="D154" s="233">
        <f t="shared" ref="D154:I154" si="51">SUM(D138:D152)</f>
        <v>3150000</v>
      </c>
      <c r="E154" s="233">
        <f t="shared" si="51"/>
        <v>0</v>
      </c>
      <c r="F154" s="233">
        <f t="shared" si="51"/>
        <v>0</v>
      </c>
      <c r="G154" s="233">
        <f t="shared" si="51"/>
        <v>0</v>
      </c>
      <c r="H154" s="233">
        <f t="shared" si="51"/>
        <v>0</v>
      </c>
      <c r="I154" s="207">
        <f t="shared" si="51"/>
        <v>3150000</v>
      </c>
    </row>
    <row r="156" spans="2:37" ht="15.75" x14ac:dyDescent="0.25">
      <c r="B156" s="352" t="s">
        <v>97</v>
      </c>
      <c r="C156" s="352"/>
      <c r="D156" s="352"/>
      <c r="E156" s="352"/>
      <c r="F156" s="352"/>
      <c r="G156" s="352"/>
      <c r="H156" s="352"/>
      <c r="I156" s="352"/>
    </row>
    <row r="157" spans="2:37" ht="5.45" customHeight="1" outlineLevel="1" x14ac:dyDescent="0.2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row>
    <row r="158" spans="2:37" outlineLevel="1" x14ac:dyDescent="0.25">
      <c r="B158" s="81"/>
      <c r="C158" s="63"/>
      <c r="D158" s="88">
        <f>$C$3</f>
        <v>2023</v>
      </c>
      <c r="E158" s="88">
        <f>$C$3+1</f>
        <v>2024</v>
      </c>
      <c r="F158" s="88">
        <f>$C$3+2</f>
        <v>2025</v>
      </c>
      <c r="G158" s="88">
        <f>$C$3+3</f>
        <v>2026</v>
      </c>
      <c r="H158" s="88">
        <f>$C$3+4</f>
        <v>2027</v>
      </c>
      <c r="I158" s="87" t="str">
        <f xml:space="preserve"> D158&amp;" - "&amp;H158</f>
        <v>2023 - 2027</v>
      </c>
    </row>
    <row r="159" spans="2:37" outlineLevel="1" x14ac:dyDescent="0.25">
      <c r="B159" s="281" t="s">
        <v>283</v>
      </c>
      <c r="C159" s="101" t="s">
        <v>47</v>
      </c>
      <c r="D159" s="232">
        <f>'Παραδοχές μοναδιαίου κόστους'!E132*'Ανάπτυξη δικτύου'!X153</f>
        <v>0</v>
      </c>
      <c r="E159" s="232">
        <f>'Παραδοχές μοναδιαίου κόστους'!F132*'Ανάπτυξη δικτύου'!AA153</f>
        <v>0</v>
      </c>
      <c r="F159" s="232">
        <f>'Παραδοχές μοναδιαίου κόστους'!G132*'Ανάπτυξη δικτύου'!AD153</f>
        <v>0</v>
      </c>
      <c r="G159" s="232">
        <f>'Παραδοχές μοναδιαίου κόστους'!H132*'Ανάπτυξη δικτύου'!AG153</f>
        <v>0</v>
      </c>
      <c r="H159" s="232">
        <f>'Παραδοχές μοναδιαίου κόστους'!I132*'Ανάπτυξη δικτύου'!AJ153</f>
        <v>0</v>
      </c>
      <c r="I159" s="206">
        <f t="shared" ref="I159:I162" si="52">D159+E159+F159+G159+H159</f>
        <v>0</v>
      </c>
    </row>
    <row r="160" spans="2:37" outlineLevel="1" x14ac:dyDescent="0.25">
      <c r="B160" s="52" t="s">
        <v>284</v>
      </c>
      <c r="C160" s="101" t="s">
        <v>47</v>
      </c>
      <c r="D160" s="232">
        <f>'Παραδοχές μοναδιαίου κόστους'!E135*'Ανάπτυξη δικτύου'!X154</f>
        <v>0</v>
      </c>
      <c r="E160" s="232">
        <f>'Παραδοχές μοναδιαίου κόστους'!F135*'Ανάπτυξη δικτύου'!AA154</f>
        <v>0</v>
      </c>
      <c r="F160" s="232">
        <f>'Παραδοχές μοναδιαίου κόστους'!G135*'Ανάπτυξη δικτύου'!AD154</f>
        <v>0</v>
      </c>
      <c r="G160" s="232">
        <f>'Παραδοχές μοναδιαίου κόστους'!H135*'Ανάπτυξη δικτύου'!AG154</f>
        <v>0</v>
      </c>
      <c r="H160" s="232">
        <f>'Παραδοχές μοναδιαίου κόστους'!I135*'Ανάπτυξη δικτύου'!AJ154</f>
        <v>0</v>
      </c>
      <c r="I160" s="206">
        <f t="shared" si="52"/>
        <v>0</v>
      </c>
    </row>
    <row r="161" spans="2:9" outlineLevel="1" x14ac:dyDescent="0.25">
      <c r="B161" s="52" t="s">
        <v>285</v>
      </c>
      <c r="C161" s="101" t="s">
        <v>47</v>
      </c>
      <c r="D161" s="232">
        <f>'Παραδοχές μοναδιαίου κόστους'!E137*'Ανάπτυξη δικτύου'!X155</f>
        <v>0</v>
      </c>
      <c r="E161" s="232">
        <f>'Παραδοχές μοναδιαίου κόστους'!F137*'Ανάπτυξη δικτύου'!AA155</f>
        <v>0</v>
      </c>
      <c r="F161" s="232">
        <f>'Παραδοχές μοναδιαίου κόστους'!G137*'Ανάπτυξη δικτύου'!AD155</f>
        <v>0</v>
      </c>
      <c r="G161" s="232">
        <f>'Παραδοχές μοναδιαίου κόστους'!H137*'Ανάπτυξη δικτύου'!AG155</f>
        <v>0</v>
      </c>
      <c r="H161" s="232">
        <f>'Παραδοχές μοναδιαίου κόστους'!I137*'Ανάπτυξη δικτύου'!AJ155</f>
        <v>0</v>
      </c>
      <c r="I161" s="206">
        <f t="shared" si="52"/>
        <v>0</v>
      </c>
    </row>
    <row r="162" spans="2:9" outlineLevel="1" x14ac:dyDescent="0.25">
      <c r="B162" s="52" t="s">
        <v>286</v>
      </c>
      <c r="C162" s="101" t="s">
        <v>47</v>
      </c>
      <c r="D162" s="232">
        <f>'Παραδοχές μοναδιαίου κόστους'!E140*'Ανάπτυξη δικτύου'!X156</f>
        <v>0</v>
      </c>
      <c r="E162" s="232">
        <f>'Παραδοχές μοναδιαίου κόστους'!F140*'Ανάπτυξη δικτύου'!AA156</f>
        <v>0</v>
      </c>
      <c r="F162" s="232">
        <f>'Παραδοχές μοναδιαίου κόστους'!G140*'Ανάπτυξη δικτύου'!AD156</f>
        <v>0</v>
      </c>
      <c r="G162" s="232">
        <f>'Παραδοχές μοναδιαίου κόστους'!H140*'Ανάπτυξη δικτύου'!AG156</f>
        <v>0</v>
      </c>
      <c r="H162" s="232">
        <f>'Παραδοχές μοναδιαίου κόστους'!I140*'Ανάπτυξη δικτύου'!AJ156</f>
        <v>0</v>
      </c>
      <c r="I162" s="206">
        <f t="shared" si="52"/>
        <v>0</v>
      </c>
    </row>
    <row r="163" spans="2:9" outlineLevel="1" x14ac:dyDescent="0.25">
      <c r="B163" s="52" t="s">
        <v>287</v>
      </c>
      <c r="C163" s="101" t="s">
        <v>47</v>
      </c>
      <c r="D163" s="232">
        <f>'Παραδοχές μοναδιαίου κόστους'!E136*'Ανάπτυξη δικτύου'!X157</f>
        <v>0</v>
      </c>
      <c r="E163" s="232">
        <f>'Παραδοχές μοναδιαίου κόστους'!F136*'Ανάπτυξη δικτύου'!AA157</f>
        <v>0</v>
      </c>
      <c r="F163" s="232">
        <f>'Παραδοχές μοναδιαίου κόστους'!G136*'Ανάπτυξη δικτύου'!AD157</f>
        <v>0</v>
      </c>
      <c r="G163" s="232">
        <f>'Παραδοχές μοναδιαίου κόστους'!H136*'Ανάπτυξη δικτύου'!AG157</f>
        <v>0</v>
      </c>
      <c r="H163" s="232">
        <f>'Παραδοχές μοναδιαίου κόστους'!I136*'Ανάπτυξη δικτύου'!AJ157</f>
        <v>0</v>
      </c>
      <c r="I163" s="206">
        <f t="shared" ref="I163:I166" si="53">D163+E163+F163+G163+H163</f>
        <v>0</v>
      </c>
    </row>
    <row r="164" spans="2:9" outlineLevel="1" x14ac:dyDescent="0.25">
      <c r="B164" s="52" t="s">
        <v>288</v>
      </c>
      <c r="C164" s="101" t="s">
        <v>47</v>
      </c>
      <c r="D164" s="232">
        <f>'Παραδοχές μοναδιαίου κόστους'!E139*'Ανάπτυξη δικτύου'!X158</f>
        <v>0</v>
      </c>
      <c r="E164" s="232">
        <f>'Παραδοχές μοναδιαίου κόστους'!F139*'Ανάπτυξη δικτύου'!AA158</f>
        <v>0</v>
      </c>
      <c r="F164" s="232">
        <f>'Παραδοχές μοναδιαίου κόστους'!G139*'Ανάπτυξη δικτύου'!AD158</f>
        <v>0</v>
      </c>
      <c r="G164" s="232">
        <f>'Παραδοχές μοναδιαίου κόστους'!H139*'Ανάπτυξη δικτύου'!AG158</f>
        <v>0</v>
      </c>
      <c r="H164" s="232">
        <f>'Παραδοχές μοναδιαίου κόστους'!I139*'Ανάπτυξη δικτύου'!AJ158</f>
        <v>0</v>
      </c>
      <c r="I164" s="206">
        <f t="shared" si="53"/>
        <v>0</v>
      </c>
    </row>
    <row r="165" spans="2:9" outlineLevel="1" x14ac:dyDescent="0.25">
      <c r="B165" s="52" t="s">
        <v>289</v>
      </c>
      <c r="C165" s="101" t="s">
        <v>47</v>
      </c>
      <c r="D165" s="232">
        <f>'Παραδοχές μοναδιαίου κόστους'!E147*'Ανάπτυξη δικτύου'!X159</f>
        <v>0</v>
      </c>
      <c r="E165" s="232">
        <f>'Παραδοχές μοναδιαίου κόστους'!F147*'Ανάπτυξη δικτύου'!AA159</f>
        <v>0</v>
      </c>
      <c r="F165" s="232">
        <f>'Παραδοχές μοναδιαίου κόστους'!G147*'Ανάπτυξη δικτύου'!AD159</f>
        <v>0</v>
      </c>
      <c r="G165" s="232">
        <f>'Παραδοχές μοναδιαίου κόστους'!H147*'Ανάπτυξη δικτύου'!AG159</f>
        <v>0</v>
      </c>
      <c r="H165" s="232">
        <f>'Παραδοχές μοναδιαίου κόστους'!I147*'Ανάπτυξη δικτύου'!AJ159</f>
        <v>0</v>
      </c>
      <c r="I165" s="206">
        <f t="shared" si="53"/>
        <v>0</v>
      </c>
    </row>
    <row r="166" spans="2:9" outlineLevel="1" x14ac:dyDescent="0.25">
      <c r="B166" s="52" t="s">
        <v>290</v>
      </c>
      <c r="C166" s="101" t="s">
        <v>47</v>
      </c>
      <c r="D166" s="232">
        <f>'Παραδοχές μοναδιαίου κόστους'!E150*'Ανάπτυξη δικτύου'!X160</f>
        <v>0</v>
      </c>
      <c r="E166" s="232">
        <f>'Παραδοχές μοναδιαίου κόστους'!F150*'Ανάπτυξη δικτύου'!AA160</f>
        <v>0</v>
      </c>
      <c r="F166" s="232">
        <f>'Παραδοχές μοναδιαίου κόστους'!G150*'Ανάπτυξη δικτύου'!AD160</f>
        <v>0</v>
      </c>
      <c r="G166" s="232">
        <f>'Παραδοχές μοναδιαίου κόστους'!H150*'Ανάπτυξη δικτύου'!AG160</f>
        <v>0</v>
      </c>
      <c r="H166" s="232">
        <f>'Παραδοχές μοναδιαίου κόστους'!I150*'Ανάπτυξη δικτύου'!AJ160</f>
        <v>0</v>
      </c>
      <c r="I166" s="206">
        <f t="shared" si="53"/>
        <v>0</v>
      </c>
    </row>
    <row r="167" spans="2:9" outlineLevel="1" x14ac:dyDescent="0.25">
      <c r="B167" s="52" t="s">
        <v>291</v>
      </c>
      <c r="C167" s="101" t="s">
        <v>47</v>
      </c>
      <c r="D167" s="232">
        <f>'Παραδοχές μοναδιαίου κόστους'!E151*'Ανάπτυξη δικτύου'!X161</f>
        <v>0</v>
      </c>
      <c r="E167" s="232">
        <f>'Παραδοχές μοναδιαίου κόστους'!F151*'Ανάπτυξη δικτύου'!AA161</f>
        <v>0</v>
      </c>
      <c r="F167" s="232">
        <f>'Παραδοχές μοναδιαίου κόστους'!G151*'Ανάπτυξη δικτύου'!AD161</f>
        <v>0</v>
      </c>
      <c r="G167" s="232">
        <f>'Παραδοχές μοναδιαίου κόστους'!H151*'Ανάπτυξη δικτύου'!AG161</f>
        <v>0</v>
      </c>
      <c r="H167" s="232">
        <f>'Παραδοχές μοναδιαίου κόστους'!I151*'Ανάπτυξη δικτύου'!AJ161</f>
        <v>0</v>
      </c>
      <c r="I167" s="206">
        <f t="shared" ref="I167" si="54">D167+E167+F167+G167+H167</f>
        <v>0</v>
      </c>
    </row>
    <row r="168" spans="2:9" outlineLevel="1" x14ac:dyDescent="0.25">
      <c r="B168" s="52" t="s">
        <v>307</v>
      </c>
      <c r="C168" s="101" t="s">
        <v>47</v>
      </c>
      <c r="D168" s="232"/>
      <c r="E168" s="232"/>
      <c r="F168" s="232"/>
      <c r="G168" s="232"/>
      <c r="H168" s="232"/>
      <c r="I168" s="206"/>
    </row>
    <row r="169" spans="2:9" outlineLevel="1" x14ac:dyDescent="0.25">
      <c r="B169" s="52" t="s">
        <v>304</v>
      </c>
      <c r="C169" s="101" t="s">
        <v>47</v>
      </c>
      <c r="D169" s="232"/>
      <c r="E169" s="232"/>
      <c r="F169" s="232"/>
      <c r="G169" s="232"/>
      <c r="H169" s="232"/>
      <c r="I169" s="206"/>
    </row>
    <row r="170" spans="2:9" outlineLevel="1" x14ac:dyDescent="0.25">
      <c r="B170" s="52" t="s">
        <v>305</v>
      </c>
      <c r="C170" s="101" t="s">
        <v>47</v>
      </c>
      <c r="D170" s="232"/>
      <c r="E170" s="232"/>
      <c r="F170" s="232"/>
      <c r="G170" s="232"/>
      <c r="H170" s="232"/>
      <c r="I170" s="206"/>
    </row>
    <row r="171" spans="2:9" outlineLevel="1" x14ac:dyDescent="0.25">
      <c r="B171" s="52" t="s">
        <v>306</v>
      </c>
      <c r="C171" s="101" t="s">
        <v>47</v>
      </c>
      <c r="D171" s="232"/>
      <c r="E171" s="232"/>
      <c r="F171" s="232"/>
      <c r="G171" s="232"/>
      <c r="H171" s="232"/>
      <c r="I171" s="206"/>
    </row>
    <row r="172" spans="2:9" outlineLevel="1" x14ac:dyDescent="0.25">
      <c r="B172" s="52" t="s">
        <v>308</v>
      </c>
      <c r="C172" s="101" t="s">
        <v>47</v>
      </c>
      <c r="D172" s="232"/>
      <c r="E172" s="232"/>
      <c r="F172" s="232"/>
      <c r="G172" s="232"/>
      <c r="H172" s="232"/>
      <c r="I172" s="206"/>
    </row>
    <row r="173" spans="2:9" outlineLevel="1" x14ac:dyDescent="0.25">
      <c r="B173" s="52"/>
      <c r="C173" s="101"/>
      <c r="D173" s="232"/>
      <c r="E173" s="232"/>
      <c r="F173" s="232"/>
      <c r="G173" s="232"/>
      <c r="H173" s="232"/>
      <c r="I173" s="206"/>
    </row>
    <row r="174" spans="2:9" outlineLevel="1" x14ac:dyDescent="0.25">
      <c r="B174" s="349" t="s">
        <v>90</v>
      </c>
      <c r="C174" s="350"/>
      <c r="D174" s="350"/>
      <c r="E174" s="350"/>
      <c r="F174" s="350"/>
      <c r="G174" s="350"/>
      <c r="H174" s="350"/>
      <c r="I174" s="351"/>
    </row>
    <row r="175" spans="2:9" outlineLevel="1" x14ac:dyDescent="0.25">
      <c r="B175" s="52" t="s">
        <v>84</v>
      </c>
      <c r="C175" s="101" t="s">
        <v>47</v>
      </c>
      <c r="D175" s="233">
        <f t="shared" ref="D175:I175" si="55">SUM(D159:D173)</f>
        <v>0</v>
      </c>
      <c r="E175" s="233">
        <f t="shared" si="55"/>
        <v>0</v>
      </c>
      <c r="F175" s="233">
        <f t="shared" si="55"/>
        <v>0</v>
      </c>
      <c r="G175" s="233">
        <f t="shared" si="55"/>
        <v>0</v>
      </c>
      <c r="H175" s="233">
        <f t="shared" si="55"/>
        <v>0</v>
      </c>
      <c r="I175" s="207">
        <f t="shared" si="55"/>
        <v>0</v>
      </c>
    </row>
    <row r="177" spans="2:37" ht="15.75" x14ac:dyDescent="0.25">
      <c r="B177" s="352" t="s">
        <v>25</v>
      </c>
      <c r="C177" s="352"/>
      <c r="D177" s="352"/>
      <c r="E177" s="352"/>
      <c r="F177" s="352"/>
      <c r="G177" s="352"/>
      <c r="H177" s="352"/>
      <c r="I177" s="352"/>
    </row>
    <row r="178" spans="2:37" ht="5.45" customHeight="1" outlineLevel="1" x14ac:dyDescent="0.2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row>
    <row r="179" spans="2:37" outlineLevel="1" x14ac:dyDescent="0.25">
      <c r="B179" s="81"/>
      <c r="C179" s="63"/>
      <c r="D179" s="88">
        <f>$C$3</f>
        <v>2023</v>
      </c>
      <c r="E179" s="88">
        <f>$C$3+1</f>
        <v>2024</v>
      </c>
      <c r="F179" s="88">
        <f>$C$3+2</f>
        <v>2025</v>
      </c>
      <c r="G179" s="88">
        <f>$C$3+3</f>
        <v>2026</v>
      </c>
      <c r="H179" s="88">
        <f>$C$3+4</f>
        <v>2027</v>
      </c>
      <c r="I179" s="87" t="str">
        <f xml:space="preserve"> D179&amp;" - "&amp;H179</f>
        <v>2023 - 2027</v>
      </c>
    </row>
    <row r="180" spans="2:37" outlineLevel="1" x14ac:dyDescent="0.25">
      <c r="B180" s="281" t="s">
        <v>283</v>
      </c>
      <c r="C180" s="101" t="s">
        <v>47</v>
      </c>
      <c r="D180" s="232">
        <f>'Παραδοχές μοναδιαίου κόστους'!E152*'Ανάπτυξη δικτύου'!X176</f>
        <v>0</v>
      </c>
      <c r="E180" s="232">
        <f>'Παραδοχές μοναδιαίου κόστους'!F152*'Ανάπτυξη δικτύου'!AA176</f>
        <v>0</v>
      </c>
      <c r="F180" s="232">
        <f>'Παραδοχές μοναδιαίου κόστους'!G152*'Ανάπτυξη δικτύου'!AD176</f>
        <v>0</v>
      </c>
      <c r="G180" s="232">
        <f>'Παραδοχές μοναδιαίου κόστους'!H152*'Ανάπτυξη δικτύου'!AG176</f>
        <v>0</v>
      </c>
      <c r="H180" s="232">
        <f>'Παραδοχές μοναδιαίου κόστους'!I152*'Ανάπτυξη δικτύου'!AJ176</f>
        <v>0</v>
      </c>
      <c r="I180" s="206">
        <f t="shared" ref="I180:I183" si="56">D180+E180+F180+G180+H180</f>
        <v>0</v>
      </c>
    </row>
    <row r="181" spans="2:37" outlineLevel="1" x14ac:dyDescent="0.25">
      <c r="B181" s="52" t="s">
        <v>284</v>
      </c>
      <c r="C181" s="101" t="s">
        <v>47</v>
      </c>
      <c r="D181" s="232">
        <f>'Παραδοχές μοναδιαίου κόστους'!E155*'Ανάπτυξη δικτύου'!X177</f>
        <v>0</v>
      </c>
      <c r="E181" s="232">
        <f>'Παραδοχές μοναδιαίου κόστους'!F155*'Ανάπτυξη δικτύου'!AA177</f>
        <v>0</v>
      </c>
      <c r="F181" s="232">
        <f>'Παραδοχές μοναδιαίου κόστους'!G155*'Ανάπτυξη δικτύου'!AD177</f>
        <v>0</v>
      </c>
      <c r="G181" s="232">
        <f>'Παραδοχές μοναδιαίου κόστους'!H155*'Ανάπτυξη δικτύου'!AG177</f>
        <v>0</v>
      </c>
      <c r="H181" s="232">
        <f>'Παραδοχές μοναδιαίου κόστους'!I155*'Ανάπτυξη δικτύου'!AJ177</f>
        <v>0</v>
      </c>
      <c r="I181" s="206">
        <f t="shared" si="56"/>
        <v>0</v>
      </c>
    </row>
    <row r="182" spans="2:37" outlineLevel="1" x14ac:dyDescent="0.25">
      <c r="B182" s="52" t="s">
        <v>285</v>
      </c>
      <c r="C182" s="101" t="s">
        <v>47</v>
      </c>
      <c r="D182" s="232">
        <f>'Παραδοχές μοναδιαίου κόστους'!E158*'Ανάπτυξη δικτύου'!X178</f>
        <v>0</v>
      </c>
      <c r="E182" s="232">
        <f>'Παραδοχές μοναδιαίου κόστους'!F158*'Ανάπτυξη δικτύου'!AA178</f>
        <v>0</v>
      </c>
      <c r="F182" s="232">
        <f>'Παραδοχές μοναδιαίου κόστους'!G158*'Ανάπτυξη δικτύου'!AD178</f>
        <v>0</v>
      </c>
      <c r="G182" s="232">
        <f>'Παραδοχές μοναδιαίου κόστους'!H158*'Ανάπτυξη δικτύου'!AG178</f>
        <v>0</v>
      </c>
      <c r="H182" s="232">
        <f>'Παραδοχές μοναδιαίου κόστους'!I158*'Ανάπτυξη δικτύου'!AJ178</f>
        <v>0</v>
      </c>
      <c r="I182" s="206">
        <f t="shared" si="56"/>
        <v>0</v>
      </c>
    </row>
    <row r="183" spans="2:37" outlineLevel="1" x14ac:dyDescent="0.25">
      <c r="B183" s="52" t="s">
        <v>286</v>
      </c>
      <c r="C183" s="101" t="s">
        <v>47</v>
      </c>
      <c r="D183" s="232">
        <f>'Παραδοχές μοναδιαίου κόστους'!E160*'Ανάπτυξη δικτύου'!X179</f>
        <v>0</v>
      </c>
      <c r="E183" s="232">
        <f>'Παραδοχές μοναδιαίου κόστους'!F160*'Ανάπτυξη δικτύου'!AA179</f>
        <v>0</v>
      </c>
      <c r="F183" s="232">
        <f>'Παραδοχές μοναδιαίου κόστους'!G160*'Ανάπτυξη δικτύου'!AD179</f>
        <v>0</v>
      </c>
      <c r="G183" s="232">
        <f>'Παραδοχές μοναδιαίου κόστους'!H160*'Ανάπτυξη δικτύου'!AG179</f>
        <v>0</v>
      </c>
      <c r="H183" s="232">
        <f>'Παραδοχές μοναδιαίου κόστους'!I160*'Ανάπτυξη δικτύου'!AJ179</f>
        <v>0</v>
      </c>
      <c r="I183" s="206">
        <f t="shared" si="56"/>
        <v>0</v>
      </c>
    </row>
    <row r="184" spans="2:37" outlineLevel="1" x14ac:dyDescent="0.25">
      <c r="B184" s="52" t="s">
        <v>287</v>
      </c>
      <c r="C184" s="101" t="s">
        <v>47</v>
      </c>
      <c r="D184" s="232">
        <f>'Παραδοχές μοναδιαίου κόστους'!E156*'Ανάπτυξη δικτύου'!X180</f>
        <v>0</v>
      </c>
      <c r="E184" s="232">
        <f>'Παραδοχές μοναδιαίου κόστους'!F156*'Ανάπτυξη δικτύου'!AA180</f>
        <v>0</v>
      </c>
      <c r="F184" s="232">
        <f>'Παραδοχές μοναδιαίου κόστους'!G156*'Ανάπτυξη δικτύου'!AD180</f>
        <v>0</v>
      </c>
      <c r="G184" s="232">
        <f>'Παραδοχές μοναδιαίου κόστους'!H156*'Ανάπτυξη δικτύου'!AG180</f>
        <v>0</v>
      </c>
      <c r="H184" s="232">
        <f>'Παραδοχές μοναδιαίου κόστους'!I156*'Ανάπτυξη δικτύου'!AJ180</f>
        <v>0</v>
      </c>
      <c r="I184" s="206">
        <f t="shared" ref="I184:I187" si="57">D184+E184+F184+G184+H184</f>
        <v>0</v>
      </c>
    </row>
    <row r="185" spans="2:37" outlineLevel="1" x14ac:dyDescent="0.25">
      <c r="B185" s="52" t="s">
        <v>288</v>
      </c>
      <c r="C185" s="101" t="s">
        <v>47</v>
      </c>
      <c r="D185" s="232">
        <f>'Παραδοχές μοναδιαίου κόστους'!E159*'Ανάπτυξη δικτύου'!X181</f>
        <v>0</v>
      </c>
      <c r="E185" s="232">
        <f>'Παραδοχές μοναδιαίου κόστους'!F159*'Ανάπτυξη δικτύου'!AA181</f>
        <v>0</v>
      </c>
      <c r="F185" s="232">
        <f>'Παραδοχές μοναδιαίου κόστους'!G159*'Ανάπτυξη δικτύου'!AD181</f>
        <v>0</v>
      </c>
      <c r="G185" s="232">
        <f>'Παραδοχές μοναδιαίου κόστους'!H159*'Ανάπτυξη δικτύου'!AG181</f>
        <v>0</v>
      </c>
      <c r="H185" s="232">
        <f>'Παραδοχές μοναδιαίου κόστους'!I159*'Ανάπτυξη δικτύου'!AJ181</f>
        <v>0</v>
      </c>
      <c r="I185" s="206">
        <f t="shared" si="57"/>
        <v>0</v>
      </c>
    </row>
    <row r="186" spans="2:37" outlineLevel="1" x14ac:dyDescent="0.25">
      <c r="B186" s="52" t="s">
        <v>289</v>
      </c>
      <c r="C186" s="101" t="s">
        <v>47</v>
      </c>
      <c r="D186" s="232">
        <f>'Παραδοχές μοναδιαίου κόστους'!E168*'Ανάπτυξη δικτύου'!X182</f>
        <v>0</v>
      </c>
      <c r="E186" s="232">
        <f>'Παραδοχές μοναδιαίου κόστους'!F168*'Ανάπτυξη δικτύου'!AA182</f>
        <v>0</v>
      </c>
      <c r="F186" s="232">
        <f>'Παραδοχές μοναδιαίου κόστους'!G168*'Ανάπτυξη δικτύου'!AD182</f>
        <v>0</v>
      </c>
      <c r="G186" s="232">
        <f>'Παραδοχές μοναδιαίου κόστους'!H168*'Ανάπτυξη δικτύου'!AG182</f>
        <v>0</v>
      </c>
      <c r="H186" s="232">
        <f>'Παραδοχές μοναδιαίου κόστους'!I168*'Ανάπτυξη δικτύου'!AJ182</f>
        <v>0</v>
      </c>
      <c r="I186" s="206">
        <f t="shared" si="57"/>
        <v>0</v>
      </c>
    </row>
    <row r="187" spans="2:37" outlineLevel="1" x14ac:dyDescent="0.25">
      <c r="B187" s="52" t="s">
        <v>290</v>
      </c>
      <c r="C187" s="101" t="s">
        <v>47</v>
      </c>
      <c r="D187" s="232">
        <f>'Παραδοχές μοναδιαίου κόστους'!E170*'Ανάπτυξη δικτύου'!X183</f>
        <v>0</v>
      </c>
      <c r="E187" s="232">
        <f>'Παραδοχές μοναδιαίου κόστους'!F170*'Ανάπτυξη δικτύου'!AA183</f>
        <v>0</v>
      </c>
      <c r="F187" s="232">
        <f>'Παραδοχές μοναδιαίου κόστους'!G170*'Ανάπτυξη δικτύου'!AD183</f>
        <v>0</v>
      </c>
      <c r="G187" s="232">
        <f>'Παραδοχές μοναδιαίου κόστους'!H170*'Ανάπτυξη δικτύου'!AG183</f>
        <v>0</v>
      </c>
      <c r="H187" s="232">
        <f>'Παραδοχές μοναδιαίου κόστους'!I170*'Ανάπτυξη δικτύου'!AJ183</f>
        <v>0</v>
      </c>
      <c r="I187" s="206">
        <f t="shared" si="57"/>
        <v>0</v>
      </c>
    </row>
    <row r="188" spans="2:37" outlineLevel="1" x14ac:dyDescent="0.25">
      <c r="B188" s="52" t="s">
        <v>291</v>
      </c>
      <c r="C188" s="101" t="s">
        <v>47</v>
      </c>
      <c r="D188" s="232">
        <f>'Παραδοχές μοναδιαίου κόστους'!E171*'Ανάπτυξη δικτύου'!X184</f>
        <v>0</v>
      </c>
      <c r="E188" s="232">
        <f>'Παραδοχές μοναδιαίου κόστους'!F171*'Ανάπτυξη δικτύου'!AA184</f>
        <v>0</v>
      </c>
      <c r="F188" s="232">
        <f>'Παραδοχές μοναδιαίου κόστους'!G171*'Ανάπτυξη δικτύου'!AD184</f>
        <v>0</v>
      </c>
      <c r="G188" s="232">
        <f>'Παραδοχές μοναδιαίου κόστους'!H171*'Ανάπτυξη δικτύου'!AG184</f>
        <v>0</v>
      </c>
      <c r="H188" s="232">
        <f>'Παραδοχές μοναδιαίου κόστους'!I171*'Ανάπτυξη δικτύου'!AJ184</f>
        <v>0</v>
      </c>
      <c r="I188" s="206">
        <f t="shared" ref="I188" si="58">D188+E188+F188+G188+H188</f>
        <v>0</v>
      </c>
    </row>
    <row r="189" spans="2:37" outlineLevel="1" x14ac:dyDescent="0.25">
      <c r="B189" s="52" t="s">
        <v>307</v>
      </c>
      <c r="C189" s="101" t="s">
        <v>47</v>
      </c>
      <c r="D189" s="232"/>
      <c r="E189" s="232"/>
      <c r="F189" s="232"/>
      <c r="G189" s="232"/>
      <c r="H189" s="232"/>
      <c r="I189" s="206"/>
    </row>
    <row r="190" spans="2:37" outlineLevel="1" x14ac:dyDescent="0.25">
      <c r="B190" s="52" t="s">
        <v>304</v>
      </c>
      <c r="C190" s="101" t="s">
        <v>47</v>
      </c>
      <c r="D190" s="232"/>
      <c r="E190" s="232"/>
      <c r="F190" s="232"/>
      <c r="G190" s="232"/>
      <c r="H190" s="232"/>
      <c r="I190" s="206"/>
    </row>
    <row r="191" spans="2:37" outlineLevel="1" x14ac:dyDescent="0.25">
      <c r="B191" s="52" t="s">
        <v>305</v>
      </c>
      <c r="C191" s="101" t="s">
        <v>47</v>
      </c>
      <c r="D191" s="232"/>
      <c r="E191" s="232"/>
      <c r="F191" s="232"/>
      <c r="G191" s="232"/>
      <c r="H191" s="232"/>
      <c r="I191" s="206"/>
    </row>
    <row r="192" spans="2:37" outlineLevel="1" x14ac:dyDescent="0.25">
      <c r="B192" s="52" t="s">
        <v>306</v>
      </c>
      <c r="C192" s="101" t="s">
        <v>47</v>
      </c>
      <c r="D192" s="232"/>
      <c r="E192" s="232"/>
      <c r="F192" s="232"/>
      <c r="G192" s="232"/>
      <c r="H192" s="232"/>
      <c r="I192" s="206"/>
    </row>
    <row r="193" spans="2:9" outlineLevel="1" x14ac:dyDescent="0.25">
      <c r="B193" s="52" t="s">
        <v>308</v>
      </c>
      <c r="C193" s="101" t="s">
        <v>47</v>
      </c>
      <c r="D193" s="232"/>
      <c r="E193" s="232"/>
      <c r="F193" s="232"/>
      <c r="G193" s="232"/>
      <c r="H193" s="232"/>
      <c r="I193" s="206"/>
    </row>
    <row r="194" spans="2:9" outlineLevel="1" x14ac:dyDescent="0.25">
      <c r="B194" s="52"/>
      <c r="C194" s="101"/>
      <c r="D194" s="232"/>
      <c r="E194" s="232"/>
      <c r="F194" s="232"/>
      <c r="G194" s="232"/>
      <c r="H194" s="232"/>
      <c r="I194" s="206"/>
    </row>
    <row r="195" spans="2:9" outlineLevel="1" x14ac:dyDescent="0.25">
      <c r="B195" s="349" t="s">
        <v>90</v>
      </c>
      <c r="C195" s="350"/>
      <c r="D195" s="350"/>
      <c r="E195" s="350"/>
      <c r="F195" s="350"/>
      <c r="G195" s="350"/>
      <c r="H195" s="350"/>
      <c r="I195" s="351"/>
    </row>
    <row r="196" spans="2:9" outlineLevel="1" x14ac:dyDescent="0.25">
      <c r="B196" s="52" t="s">
        <v>84</v>
      </c>
      <c r="C196" s="101" t="s">
        <v>47</v>
      </c>
      <c r="D196" s="233">
        <f t="shared" ref="D196:I196" si="59">SUM(D180:D194)</f>
        <v>0</v>
      </c>
      <c r="E196" s="233">
        <f t="shared" si="59"/>
        <v>0</v>
      </c>
      <c r="F196" s="233">
        <f t="shared" si="59"/>
        <v>0</v>
      </c>
      <c r="G196" s="233">
        <f t="shared" si="59"/>
        <v>0</v>
      </c>
      <c r="H196" s="233">
        <f t="shared" si="59"/>
        <v>0</v>
      </c>
      <c r="I196" s="207">
        <f t="shared" si="59"/>
        <v>0</v>
      </c>
    </row>
  </sheetData>
  <mergeCells count="21">
    <mergeCell ref="J2:L2"/>
    <mergeCell ref="B5:I5"/>
    <mergeCell ref="B195:I195"/>
    <mergeCell ref="B156:I156"/>
    <mergeCell ref="B174:I174"/>
    <mergeCell ref="B132:I132"/>
    <mergeCell ref="B135:I135"/>
    <mergeCell ref="B153:I153"/>
    <mergeCell ref="B177:I177"/>
    <mergeCell ref="B114:I114"/>
    <mergeCell ref="C2:F2"/>
    <mergeCell ref="B9:I9"/>
    <mergeCell ref="B27:I27"/>
    <mergeCell ref="B30:I30"/>
    <mergeCell ref="B48:I48"/>
    <mergeCell ref="B51:I51"/>
    <mergeCell ref="B69:I69"/>
    <mergeCell ref="B72:I72"/>
    <mergeCell ref="B90:I90"/>
    <mergeCell ref="B93:I93"/>
    <mergeCell ref="B111:I111"/>
  </mergeCells>
  <hyperlinks>
    <hyperlink ref="J2" location="'Αρχική σελίδα'!A1" display="Πίσω στην αρχική σελίδα" xr:uid="{C4FB60D3-6BD8-4EEC-8539-DBFB86FB49B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B2:AX99"/>
  <sheetViews>
    <sheetView showGridLines="0" topLeftCell="A12" zoomScale="70" zoomScaleNormal="70" workbookViewId="0">
      <selection activeCell="J46" sqref="J46"/>
    </sheetView>
  </sheetViews>
  <sheetFormatPr defaultRowHeight="15" outlineLevelRow="1" x14ac:dyDescent="0.25"/>
  <cols>
    <col min="1" max="1" width="2.85546875" customWidth="1"/>
    <col min="2" max="2" width="28.28515625" customWidth="1"/>
    <col min="3" max="8" width="12.7109375" customWidth="1"/>
    <col min="9" max="9" width="16.42578125" bestFit="1" customWidth="1"/>
    <col min="10" max="47" width="12.7109375" customWidth="1"/>
  </cols>
  <sheetData>
    <row r="2" spans="2:47" ht="18.75" x14ac:dyDescent="0.3">
      <c r="B2" s="1" t="s">
        <v>1</v>
      </c>
      <c r="C2" s="353" t="str">
        <f>'Αρχική σελίδα'!C3</f>
        <v>HENGAS</v>
      </c>
      <c r="D2" s="353"/>
      <c r="E2" s="353"/>
      <c r="F2" s="353"/>
      <c r="G2" s="110"/>
      <c r="H2" s="110"/>
      <c r="J2" s="354" t="s">
        <v>213</v>
      </c>
      <c r="K2" s="354"/>
      <c r="L2" s="354"/>
    </row>
    <row r="3" spans="2:47" ht="18.75" x14ac:dyDescent="0.3">
      <c r="B3" s="2" t="s">
        <v>2</v>
      </c>
      <c r="C3" s="111">
        <f>'Αρχική σελίδα'!C4</f>
        <v>2023</v>
      </c>
      <c r="D3" s="48" t="s">
        <v>0</v>
      </c>
      <c r="E3" s="48">
        <f>C3+4</f>
        <v>2027</v>
      </c>
    </row>
    <row r="4" spans="2:47" ht="14.45" customHeight="1" x14ac:dyDescent="0.3">
      <c r="C4" s="2"/>
      <c r="D4" s="48"/>
    </row>
    <row r="5" spans="2:47" ht="79.150000000000006" customHeight="1" x14ac:dyDescent="0.25">
      <c r="B5" s="355" t="s">
        <v>250</v>
      </c>
      <c r="C5" s="355"/>
      <c r="D5" s="355"/>
      <c r="E5" s="355"/>
      <c r="F5" s="355"/>
      <c r="G5" s="355"/>
      <c r="H5" s="355"/>
      <c r="I5" s="355"/>
    </row>
    <row r="6" spans="2:47" x14ac:dyDescent="0.25">
      <c r="B6" s="271"/>
      <c r="C6" s="271"/>
      <c r="D6" s="271"/>
      <c r="E6" s="271"/>
      <c r="F6" s="271"/>
      <c r="G6" s="271"/>
      <c r="H6" s="271"/>
    </row>
    <row r="7" spans="2:47" ht="18.75" x14ac:dyDescent="0.3">
      <c r="B7" s="112" t="s">
        <v>152</v>
      </c>
      <c r="C7" s="113"/>
      <c r="D7" s="113"/>
      <c r="E7" s="113"/>
      <c r="F7" s="113"/>
      <c r="G7" s="110"/>
      <c r="H7" s="110"/>
      <c r="I7" s="110"/>
    </row>
    <row r="8" spans="2:47" ht="18.75" x14ac:dyDescent="0.3">
      <c r="B8" s="276"/>
      <c r="C8" s="57"/>
      <c r="D8" s="57"/>
      <c r="E8" s="57"/>
      <c r="F8" s="57"/>
    </row>
    <row r="9" spans="2:47" ht="15.75" x14ac:dyDescent="0.25">
      <c r="B9" s="352" t="s">
        <v>19</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row>
    <row r="10" spans="2:47"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row>
    <row r="11" spans="2:47" outlineLevel="1" x14ac:dyDescent="0.25">
      <c r="B11" s="400"/>
      <c r="C11" s="385" t="s">
        <v>20</v>
      </c>
      <c r="D11" s="372" t="s">
        <v>262</v>
      </c>
      <c r="E11" s="373"/>
      <c r="F11" s="373"/>
      <c r="G11" s="373"/>
      <c r="H11" s="373"/>
      <c r="I11" s="373"/>
      <c r="J11" s="373"/>
      <c r="K11" s="373"/>
      <c r="L11" s="373"/>
      <c r="M11" s="373"/>
      <c r="N11" s="373"/>
      <c r="O11" s="373"/>
      <c r="P11" s="373"/>
      <c r="Q11" s="373"/>
      <c r="R11" s="373"/>
      <c r="S11" s="373"/>
      <c r="T11" s="373"/>
      <c r="U11" s="373"/>
      <c r="V11" s="373"/>
      <c r="W11" s="374"/>
      <c r="X11" s="372" t="s">
        <v>277</v>
      </c>
      <c r="Y11" s="373"/>
      <c r="Z11" s="373"/>
      <c r="AA11" s="374"/>
      <c r="AB11" s="372" t="s">
        <v>261</v>
      </c>
      <c r="AC11" s="373"/>
      <c r="AD11" s="373"/>
      <c r="AE11" s="373"/>
      <c r="AF11" s="373"/>
      <c r="AG11" s="373"/>
      <c r="AH11" s="373"/>
      <c r="AI11" s="373"/>
      <c r="AJ11" s="373"/>
      <c r="AK11" s="373"/>
      <c r="AL11" s="373"/>
      <c r="AM11" s="373"/>
      <c r="AN11" s="373"/>
      <c r="AO11" s="373"/>
      <c r="AP11" s="373"/>
      <c r="AQ11" s="373"/>
      <c r="AR11" s="373"/>
      <c r="AS11" s="373"/>
      <c r="AT11" s="373"/>
      <c r="AU11" s="374"/>
    </row>
    <row r="12" spans="2:47" outlineLevel="1" x14ac:dyDescent="0.25">
      <c r="B12" s="401"/>
      <c r="C12" s="386"/>
      <c r="D12" s="372">
        <f>$C$3-5</f>
        <v>2018</v>
      </c>
      <c r="E12" s="373"/>
      <c r="F12" s="373"/>
      <c r="G12" s="374"/>
      <c r="H12" s="372">
        <f>$C$3-4</f>
        <v>2019</v>
      </c>
      <c r="I12" s="373"/>
      <c r="J12" s="373"/>
      <c r="K12" s="374"/>
      <c r="L12" s="372">
        <f>$C$3-3</f>
        <v>2020</v>
      </c>
      <c r="M12" s="373"/>
      <c r="N12" s="373"/>
      <c r="O12" s="374"/>
      <c r="P12" s="372">
        <f>$C$3-2</f>
        <v>2021</v>
      </c>
      <c r="Q12" s="373"/>
      <c r="R12" s="373"/>
      <c r="S12" s="374"/>
      <c r="T12" s="372" t="str">
        <f>$C$3-1&amp;""&amp;" ("&amp;"Σεπτ"&amp;")"</f>
        <v>2022 (Σεπτ)</v>
      </c>
      <c r="U12" s="373"/>
      <c r="V12" s="373"/>
      <c r="W12" s="374"/>
      <c r="X12" s="372">
        <f>$C$3-1</f>
        <v>2022</v>
      </c>
      <c r="Y12" s="373"/>
      <c r="Z12" s="373"/>
      <c r="AA12" s="374"/>
      <c r="AB12" s="372">
        <f>$C$3</f>
        <v>2023</v>
      </c>
      <c r="AC12" s="373"/>
      <c r="AD12" s="373"/>
      <c r="AE12" s="374"/>
      <c r="AF12" s="372">
        <f>$C$3+1</f>
        <v>2024</v>
      </c>
      <c r="AG12" s="373"/>
      <c r="AH12" s="373"/>
      <c r="AI12" s="374"/>
      <c r="AJ12" s="372">
        <f>$C$3+2</f>
        <v>2025</v>
      </c>
      <c r="AK12" s="373"/>
      <c r="AL12" s="373"/>
      <c r="AM12" s="374"/>
      <c r="AN12" s="372">
        <f>$C$3+3</f>
        <v>2026</v>
      </c>
      <c r="AO12" s="373"/>
      <c r="AP12" s="373"/>
      <c r="AQ12" s="374"/>
      <c r="AR12" s="372">
        <f>$C$3+4</f>
        <v>2027</v>
      </c>
      <c r="AS12" s="373"/>
      <c r="AT12" s="373"/>
      <c r="AU12" s="374"/>
    </row>
    <row r="13" spans="2:47" outlineLevel="1" x14ac:dyDescent="0.25">
      <c r="B13" s="402"/>
      <c r="C13" s="387"/>
      <c r="D13" s="67" t="s">
        <v>18</v>
      </c>
      <c r="E13" s="9" t="s">
        <v>16</v>
      </c>
      <c r="F13" s="9" t="s">
        <v>174</v>
      </c>
      <c r="G13" s="68" t="s">
        <v>13</v>
      </c>
      <c r="H13" s="67" t="s">
        <v>17</v>
      </c>
      <c r="I13" s="9" t="s">
        <v>16</v>
      </c>
      <c r="J13" s="9" t="s">
        <v>173</v>
      </c>
      <c r="K13" s="68" t="s">
        <v>13</v>
      </c>
      <c r="L13" s="67" t="s">
        <v>17</v>
      </c>
      <c r="M13" s="9" t="s">
        <v>16</v>
      </c>
      <c r="N13" s="9" t="s">
        <v>173</v>
      </c>
      <c r="O13" s="68" t="s">
        <v>13</v>
      </c>
      <c r="P13" s="67" t="s">
        <v>17</v>
      </c>
      <c r="Q13" s="9" t="s">
        <v>16</v>
      </c>
      <c r="R13" s="9" t="s">
        <v>173</v>
      </c>
      <c r="S13" s="68" t="s">
        <v>13</v>
      </c>
      <c r="T13" s="67" t="s">
        <v>17</v>
      </c>
      <c r="U13" s="9" t="s">
        <v>16</v>
      </c>
      <c r="V13" s="9" t="s">
        <v>173</v>
      </c>
      <c r="W13" s="68" t="s">
        <v>13</v>
      </c>
      <c r="X13" s="67" t="s">
        <v>17</v>
      </c>
      <c r="Y13" s="9" t="s">
        <v>16</v>
      </c>
      <c r="Z13" s="9" t="s">
        <v>173</v>
      </c>
      <c r="AA13" s="68" t="s">
        <v>13</v>
      </c>
      <c r="AB13" s="67" t="s">
        <v>17</v>
      </c>
      <c r="AC13" s="9" t="s">
        <v>16</v>
      </c>
      <c r="AD13" s="9" t="s">
        <v>173</v>
      </c>
      <c r="AE13" s="68" t="s">
        <v>13</v>
      </c>
      <c r="AF13" s="67" t="s">
        <v>17</v>
      </c>
      <c r="AG13" s="9" t="s">
        <v>16</v>
      </c>
      <c r="AH13" s="9" t="s">
        <v>173</v>
      </c>
      <c r="AI13" s="68" t="s">
        <v>13</v>
      </c>
      <c r="AJ13" s="67" t="s">
        <v>17</v>
      </c>
      <c r="AK13" s="9" t="s">
        <v>16</v>
      </c>
      <c r="AL13" s="9" t="s">
        <v>173</v>
      </c>
      <c r="AM13" s="68" t="s">
        <v>13</v>
      </c>
      <c r="AN13" s="67" t="s">
        <v>17</v>
      </c>
      <c r="AO13" s="9" t="s">
        <v>16</v>
      </c>
      <c r="AP13" s="9" t="s">
        <v>173</v>
      </c>
      <c r="AQ13" s="68" t="s">
        <v>13</v>
      </c>
      <c r="AR13" s="67" t="s">
        <v>17</v>
      </c>
      <c r="AS13" s="9" t="s">
        <v>16</v>
      </c>
      <c r="AT13" s="9" t="s">
        <v>173</v>
      </c>
      <c r="AU13" s="68" t="s">
        <v>13</v>
      </c>
    </row>
    <row r="14" spans="2:47" outlineLevel="1" x14ac:dyDescent="0.25">
      <c r="B14" s="281" t="s">
        <v>283</v>
      </c>
      <c r="C14" s="64" t="s">
        <v>22</v>
      </c>
      <c r="D14" s="188">
        <f>E14+G14+F14</f>
        <v>0</v>
      </c>
      <c r="E14" s="54"/>
      <c r="F14" s="54"/>
      <c r="G14" s="84"/>
      <c r="H14" s="188">
        <f>I14+K14+J14</f>
        <v>0</v>
      </c>
      <c r="I14" s="54"/>
      <c r="J14" s="54"/>
      <c r="K14" s="84"/>
      <c r="L14" s="188">
        <f>M14+O14+N14</f>
        <v>0</v>
      </c>
      <c r="M14" s="54"/>
      <c r="N14" s="54"/>
      <c r="O14" s="84"/>
      <c r="P14" s="188">
        <f>Q14+S14+R14</f>
        <v>0</v>
      </c>
      <c r="Q14" s="54"/>
      <c r="R14" s="54"/>
      <c r="S14" s="54"/>
      <c r="T14" s="188">
        <f>U14+W14+V14</f>
        <v>0</v>
      </c>
      <c r="U14" s="54"/>
      <c r="V14" s="54"/>
      <c r="W14" s="54"/>
      <c r="X14" s="188">
        <f>Y14+AA14+Z14</f>
        <v>0</v>
      </c>
      <c r="Y14" s="54"/>
      <c r="Z14" s="54"/>
      <c r="AA14" s="54"/>
      <c r="AB14" s="188">
        <f>AC14+AE14+AD14</f>
        <v>339.69</v>
      </c>
      <c r="AC14" s="54">
        <v>295.75</v>
      </c>
      <c r="AD14" s="54">
        <v>43.940000000000005</v>
      </c>
      <c r="AE14" s="54"/>
      <c r="AF14" s="188">
        <f>AG14+AI14+AH14+AB14</f>
        <v>590.59</v>
      </c>
      <c r="AG14" s="54">
        <v>211.9</v>
      </c>
      <c r="AH14" s="54">
        <v>39</v>
      </c>
      <c r="AI14" s="54">
        <v>0</v>
      </c>
      <c r="AJ14" s="188">
        <f>AK14+AM14+AL14+AF14</f>
        <v>742.69</v>
      </c>
      <c r="AK14" s="54">
        <v>139.1</v>
      </c>
      <c r="AL14" s="54">
        <v>13</v>
      </c>
      <c r="AM14" s="54">
        <v>0</v>
      </c>
      <c r="AN14" s="188">
        <f>AO14+AQ14+AP14+AJ14</f>
        <v>821.99</v>
      </c>
      <c r="AO14" s="54">
        <v>79.3</v>
      </c>
      <c r="AP14" s="54">
        <v>0</v>
      </c>
      <c r="AQ14" s="54">
        <v>0</v>
      </c>
      <c r="AR14" s="188">
        <f>AS14+AU14+AT14+AN14</f>
        <v>864.89</v>
      </c>
      <c r="AS14" s="54">
        <v>42.9</v>
      </c>
      <c r="AT14" s="54">
        <v>0</v>
      </c>
      <c r="AU14" s="54">
        <v>0</v>
      </c>
    </row>
    <row r="15" spans="2:47" outlineLevel="1" x14ac:dyDescent="0.25">
      <c r="B15" s="52" t="s">
        <v>284</v>
      </c>
      <c r="C15" s="64" t="s">
        <v>22</v>
      </c>
      <c r="D15" s="188">
        <f t="shared" ref="D15:D16" si="0">E15+G15+F15</f>
        <v>0</v>
      </c>
      <c r="E15" s="54"/>
      <c r="F15" s="54"/>
      <c r="G15" s="84"/>
      <c r="H15" s="188">
        <f t="shared" ref="H15:H16" si="1">I15+K15+J15</f>
        <v>0</v>
      </c>
      <c r="I15" s="54"/>
      <c r="J15" s="54"/>
      <c r="K15" s="84"/>
      <c r="L15" s="188">
        <f t="shared" ref="L15:L16" si="2">M15+O15+N15</f>
        <v>0</v>
      </c>
      <c r="M15" s="54"/>
      <c r="N15" s="54"/>
      <c r="O15" s="84"/>
      <c r="P15" s="188">
        <f t="shared" ref="P15:P16" si="3">Q15+S15+R15</f>
        <v>0</v>
      </c>
      <c r="Q15" s="54"/>
      <c r="R15" s="54"/>
      <c r="S15" s="54"/>
      <c r="T15" s="188">
        <f t="shared" ref="T15" si="4">U15+W15+V15</f>
        <v>0</v>
      </c>
      <c r="U15" s="54"/>
      <c r="V15" s="54"/>
      <c r="W15" s="54"/>
      <c r="X15" s="188">
        <f t="shared" ref="X15:X16" si="5">Y15+AA15+Z15</f>
        <v>0</v>
      </c>
      <c r="Y15" s="54"/>
      <c r="Z15" s="54"/>
      <c r="AA15" s="84"/>
      <c r="AB15" s="188">
        <f t="shared" ref="AB15:AB16" si="6">AC15+AE15+AD15</f>
        <v>313.3</v>
      </c>
      <c r="AC15" s="54">
        <v>262.60000000000002</v>
      </c>
      <c r="AD15" s="54">
        <v>50.7</v>
      </c>
      <c r="AE15" s="84">
        <v>0</v>
      </c>
      <c r="AF15" s="188">
        <f t="shared" ref="AF15:AF27" si="7">AG15+AI15+AH15+AB15</f>
        <v>770.90000000000009</v>
      </c>
      <c r="AG15" s="54">
        <v>370.5</v>
      </c>
      <c r="AH15" s="54">
        <v>87.100000000000009</v>
      </c>
      <c r="AI15" s="54">
        <v>0</v>
      </c>
      <c r="AJ15" s="188">
        <f t="shared" ref="AJ15:AJ27" si="8">AK15+AM15+AL15+AF15</f>
        <v>1071.2</v>
      </c>
      <c r="AK15" s="54">
        <v>252.20000000000002</v>
      </c>
      <c r="AL15" s="54">
        <v>48.1</v>
      </c>
      <c r="AM15" s="54">
        <v>0</v>
      </c>
      <c r="AN15" s="188">
        <f t="shared" ref="AN15:AN27" si="9">AO15+AQ15+AP15+AJ15</f>
        <v>1255.8</v>
      </c>
      <c r="AO15" s="54">
        <v>156</v>
      </c>
      <c r="AP15" s="54">
        <v>28.6</v>
      </c>
      <c r="AQ15" s="54">
        <v>0</v>
      </c>
      <c r="AR15" s="188">
        <f t="shared" ref="AR15:AR27" si="10">AS15+AU15+AT15+AN15</f>
        <v>1354.6</v>
      </c>
      <c r="AS15" s="54">
        <v>91</v>
      </c>
      <c r="AT15" s="54">
        <v>7.8000000000000007</v>
      </c>
      <c r="AU15" s="54">
        <v>0</v>
      </c>
    </row>
    <row r="16" spans="2:47" outlineLevel="1" x14ac:dyDescent="0.25">
      <c r="B16" s="52" t="s">
        <v>285</v>
      </c>
      <c r="C16" s="64" t="s">
        <v>22</v>
      </c>
      <c r="D16" s="188">
        <f t="shared" si="0"/>
        <v>0</v>
      </c>
      <c r="E16" s="54"/>
      <c r="F16" s="54"/>
      <c r="G16" s="84"/>
      <c r="H16" s="188">
        <f t="shared" si="1"/>
        <v>0</v>
      </c>
      <c r="I16" s="54"/>
      <c r="J16" s="54"/>
      <c r="K16" s="84"/>
      <c r="L16" s="188">
        <f t="shared" si="2"/>
        <v>0</v>
      </c>
      <c r="M16" s="54"/>
      <c r="N16" s="54"/>
      <c r="O16" s="84"/>
      <c r="P16" s="188">
        <f t="shared" si="3"/>
        <v>0</v>
      </c>
      <c r="Q16" s="54"/>
      <c r="R16" s="54"/>
      <c r="S16" s="54"/>
      <c r="T16" s="188">
        <f t="shared" ref="T16" si="11">U16+W16+V16</f>
        <v>0</v>
      </c>
      <c r="U16" s="54"/>
      <c r="V16" s="54"/>
      <c r="W16" s="54"/>
      <c r="X16" s="188">
        <f t="shared" si="5"/>
        <v>0</v>
      </c>
      <c r="Y16" s="54"/>
      <c r="Z16" s="54"/>
      <c r="AA16" s="84"/>
      <c r="AB16" s="188">
        <f t="shared" si="6"/>
        <v>267.8</v>
      </c>
      <c r="AC16" s="54">
        <v>236.6</v>
      </c>
      <c r="AD16" s="54">
        <v>31.200000000000003</v>
      </c>
      <c r="AE16" s="84">
        <v>0</v>
      </c>
      <c r="AF16" s="188">
        <f t="shared" si="7"/>
        <v>725.40000000000009</v>
      </c>
      <c r="AG16" s="54">
        <v>370.5</v>
      </c>
      <c r="AH16" s="54">
        <v>87.100000000000009</v>
      </c>
      <c r="AI16" s="54">
        <v>0</v>
      </c>
      <c r="AJ16" s="188">
        <f t="shared" si="8"/>
        <v>1032.2</v>
      </c>
      <c r="AK16" s="54">
        <v>260</v>
      </c>
      <c r="AL16" s="54">
        <v>46.800000000000004</v>
      </c>
      <c r="AM16" s="54">
        <v>0</v>
      </c>
      <c r="AN16" s="188">
        <f t="shared" si="9"/>
        <v>1216.8</v>
      </c>
      <c r="AO16" s="54">
        <v>156</v>
      </c>
      <c r="AP16" s="54">
        <v>28.6</v>
      </c>
      <c r="AQ16" s="54">
        <v>0</v>
      </c>
      <c r="AR16" s="188">
        <f t="shared" si="10"/>
        <v>1314.3</v>
      </c>
      <c r="AS16" s="54">
        <v>91</v>
      </c>
      <c r="AT16" s="54">
        <v>6.5</v>
      </c>
      <c r="AU16" s="54">
        <v>0</v>
      </c>
    </row>
    <row r="17" spans="2:47" outlineLevel="1" x14ac:dyDescent="0.25">
      <c r="B17" s="52" t="s">
        <v>286</v>
      </c>
      <c r="C17" s="65" t="s">
        <v>22</v>
      </c>
      <c r="D17" s="194">
        <f t="shared" ref="D17:D22" si="12">E17+G17+F17</f>
        <v>0</v>
      </c>
      <c r="E17" s="82"/>
      <c r="F17" s="82"/>
      <c r="G17" s="98"/>
      <c r="H17" s="194">
        <f t="shared" ref="H17:H22" si="13">I17+K17+J17</f>
        <v>0</v>
      </c>
      <c r="I17" s="82"/>
      <c r="J17" s="82"/>
      <c r="K17" s="98"/>
      <c r="L17" s="194">
        <f t="shared" ref="L17:L22" si="14">M17+O17+N17</f>
        <v>0</v>
      </c>
      <c r="M17" s="54"/>
      <c r="N17" s="54"/>
      <c r="O17" s="84"/>
      <c r="P17" s="194">
        <f t="shared" ref="P17:P22" si="15">Q17+S17+R17</f>
        <v>0</v>
      </c>
      <c r="Q17" s="54"/>
      <c r="R17" s="54"/>
      <c r="S17" s="54"/>
      <c r="T17" s="194">
        <f t="shared" ref="T17:T22" si="16">U17+W17+V17</f>
        <v>0</v>
      </c>
      <c r="U17" s="54"/>
      <c r="V17" s="54"/>
      <c r="W17" s="54"/>
      <c r="X17" s="194">
        <f t="shared" ref="X17:X22" si="17">Y17+AA17+Z17</f>
        <v>0</v>
      </c>
      <c r="Y17" s="82"/>
      <c r="Z17" s="82"/>
      <c r="AA17" s="98"/>
      <c r="AB17" s="194">
        <f t="shared" ref="AB17:AB27" si="18">AC17+AE17+AD17</f>
        <v>578</v>
      </c>
      <c r="AC17" s="54">
        <v>533</v>
      </c>
      <c r="AD17" s="54">
        <v>39</v>
      </c>
      <c r="AE17" s="84">
        <v>6</v>
      </c>
      <c r="AF17" s="188">
        <f t="shared" si="7"/>
        <v>1794.8</v>
      </c>
      <c r="AG17" s="54">
        <v>1007.5</v>
      </c>
      <c r="AH17" s="54">
        <v>205.4</v>
      </c>
      <c r="AI17" s="54">
        <v>3.9000000000000004</v>
      </c>
      <c r="AJ17" s="188">
        <f t="shared" si="8"/>
        <v>3009</v>
      </c>
      <c r="AK17" s="54">
        <v>1092</v>
      </c>
      <c r="AL17" s="54">
        <v>119.60000000000001</v>
      </c>
      <c r="AM17" s="54">
        <v>2.6</v>
      </c>
      <c r="AN17" s="188">
        <f t="shared" si="9"/>
        <v>3607</v>
      </c>
      <c r="AO17" s="54">
        <v>586.30000000000007</v>
      </c>
      <c r="AP17" s="54">
        <v>11.700000000000001</v>
      </c>
      <c r="AQ17" s="54">
        <v>0</v>
      </c>
      <c r="AR17" s="188">
        <f t="shared" si="10"/>
        <v>4037.3</v>
      </c>
      <c r="AS17" s="54">
        <v>396.5</v>
      </c>
      <c r="AT17" s="54">
        <v>32.5</v>
      </c>
      <c r="AU17" s="54">
        <v>1.3</v>
      </c>
    </row>
    <row r="18" spans="2:47" outlineLevel="1" x14ac:dyDescent="0.25">
      <c r="B18" s="52" t="s">
        <v>287</v>
      </c>
      <c r="C18" s="65" t="s">
        <v>22</v>
      </c>
      <c r="D18" s="194">
        <f t="shared" si="12"/>
        <v>0</v>
      </c>
      <c r="E18" s="82"/>
      <c r="F18" s="82"/>
      <c r="G18" s="98"/>
      <c r="H18" s="194">
        <f t="shared" si="13"/>
        <v>0</v>
      </c>
      <c r="I18" s="82"/>
      <c r="J18" s="82"/>
      <c r="K18" s="98"/>
      <c r="L18" s="194">
        <f t="shared" si="14"/>
        <v>0</v>
      </c>
      <c r="M18" s="54"/>
      <c r="N18" s="54"/>
      <c r="O18" s="84"/>
      <c r="P18" s="194">
        <f t="shared" si="15"/>
        <v>0</v>
      </c>
      <c r="Q18" s="54"/>
      <c r="R18" s="54"/>
      <c r="S18" s="54"/>
      <c r="T18" s="194">
        <f t="shared" si="16"/>
        <v>0</v>
      </c>
      <c r="U18" s="54"/>
      <c r="V18" s="54"/>
      <c r="W18" s="54"/>
      <c r="X18" s="194">
        <f t="shared" si="17"/>
        <v>0</v>
      </c>
      <c r="Y18" s="82"/>
      <c r="Z18" s="82"/>
      <c r="AA18" s="98"/>
      <c r="AB18" s="194">
        <f t="shared" si="18"/>
        <v>688.5</v>
      </c>
      <c r="AC18" s="54">
        <v>642.20000000000005</v>
      </c>
      <c r="AD18" s="54">
        <v>40.300000000000004</v>
      </c>
      <c r="AE18" s="84">
        <v>6</v>
      </c>
      <c r="AF18" s="188">
        <f t="shared" si="7"/>
        <v>1718.1</v>
      </c>
      <c r="AG18" s="54">
        <v>780</v>
      </c>
      <c r="AH18" s="54">
        <v>243.1</v>
      </c>
      <c r="AI18" s="54">
        <v>6.5</v>
      </c>
      <c r="AJ18" s="188">
        <f t="shared" si="8"/>
        <v>2530.6</v>
      </c>
      <c r="AK18" s="54">
        <v>715</v>
      </c>
      <c r="AL18" s="54">
        <v>93.600000000000009</v>
      </c>
      <c r="AM18" s="54">
        <v>3.9000000000000004</v>
      </c>
      <c r="AN18" s="188">
        <f t="shared" si="9"/>
        <v>3332.7</v>
      </c>
      <c r="AO18" s="54">
        <v>715</v>
      </c>
      <c r="AP18" s="54">
        <v>84.5</v>
      </c>
      <c r="AQ18" s="54">
        <v>2.6</v>
      </c>
      <c r="AR18" s="188">
        <f t="shared" si="10"/>
        <v>3904.7</v>
      </c>
      <c r="AS18" s="54">
        <v>552.5</v>
      </c>
      <c r="AT18" s="54">
        <v>18.2</v>
      </c>
      <c r="AU18" s="54">
        <v>1.3</v>
      </c>
    </row>
    <row r="19" spans="2:47" outlineLevel="1" x14ac:dyDescent="0.25">
      <c r="B19" s="52" t="s">
        <v>288</v>
      </c>
      <c r="C19" s="65" t="s">
        <v>22</v>
      </c>
      <c r="D19" s="194">
        <f t="shared" si="12"/>
        <v>0</v>
      </c>
      <c r="E19" s="82"/>
      <c r="F19" s="82"/>
      <c r="G19" s="98"/>
      <c r="H19" s="194">
        <f t="shared" si="13"/>
        <v>0</v>
      </c>
      <c r="I19" s="82"/>
      <c r="J19" s="82"/>
      <c r="K19" s="98"/>
      <c r="L19" s="194">
        <f t="shared" si="14"/>
        <v>0</v>
      </c>
      <c r="M19" s="54"/>
      <c r="N19" s="54"/>
      <c r="O19" s="84"/>
      <c r="P19" s="194">
        <f t="shared" si="15"/>
        <v>0</v>
      </c>
      <c r="Q19" s="54"/>
      <c r="R19" s="54"/>
      <c r="S19" s="54"/>
      <c r="T19" s="194">
        <f t="shared" si="16"/>
        <v>0</v>
      </c>
      <c r="U19" s="54"/>
      <c r="V19" s="54"/>
      <c r="W19" s="54"/>
      <c r="X19" s="194">
        <f t="shared" si="17"/>
        <v>0</v>
      </c>
      <c r="Y19" s="82"/>
      <c r="Z19" s="82"/>
      <c r="AA19" s="98"/>
      <c r="AB19" s="194">
        <f t="shared" si="18"/>
        <v>474.70000000000005</v>
      </c>
      <c r="AC19" s="54">
        <v>405.6</v>
      </c>
      <c r="AD19" s="54">
        <v>61.1</v>
      </c>
      <c r="AE19" s="84">
        <v>8</v>
      </c>
      <c r="AF19" s="188">
        <f t="shared" si="7"/>
        <v>950.5</v>
      </c>
      <c r="AG19" s="54">
        <v>390</v>
      </c>
      <c r="AH19" s="54">
        <v>83.2</v>
      </c>
      <c r="AI19" s="54">
        <v>2.6</v>
      </c>
      <c r="AJ19" s="188">
        <f t="shared" si="8"/>
        <v>1226.0999999999999</v>
      </c>
      <c r="AK19" s="54">
        <v>260</v>
      </c>
      <c r="AL19" s="54">
        <v>13</v>
      </c>
      <c r="AM19" s="54">
        <v>2.6</v>
      </c>
      <c r="AN19" s="188">
        <f t="shared" si="9"/>
        <v>1411.74</v>
      </c>
      <c r="AO19" s="54">
        <v>168.74</v>
      </c>
      <c r="AP19" s="54">
        <v>15.600000000000001</v>
      </c>
      <c r="AQ19" s="54">
        <v>1.3</v>
      </c>
      <c r="AR19" s="188">
        <f t="shared" si="10"/>
        <v>1489.74</v>
      </c>
      <c r="AS19" s="54">
        <v>71.500000000000014</v>
      </c>
      <c r="AT19" s="54">
        <v>5.2</v>
      </c>
      <c r="AU19" s="54">
        <v>1.3</v>
      </c>
    </row>
    <row r="20" spans="2:47" outlineLevel="1" x14ac:dyDescent="0.25">
      <c r="B20" s="52" t="s">
        <v>289</v>
      </c>
      <c r="C20" s="65" t="s">
        <v>22</v>
      </c>
      <c r="D20" s="194">
        <f t="shared" si="12"/>
        <v>0</v>
      </c>
      <c r="E20" s="82"/>
      <c r="F20" s="82"/>
      <c r="G20" s="98"/>
      <c r="H20" s="194">
        <f t="shared" si="13"/>
        <v>0</v>
      </c>
      <c r="I20" s="82"/>
      <c r="J20" s="82"/>
      <c r="K20" s="98"/>
      <c r="L20" s="194">
        <f t="shared" si="14"/>
        <v>0</v>
      </c>
      <c r="M20" s="54"/>
      <c r="N20" s="54"/>
      <c r="O20" s="84"/>
      <c r="P20" s="194">
        <f t="shared" si="15"/>
        <v>0</v>
      </c>
      <c r="Q20" s="54"/>
      <c r="R20" s="54"/>
      <c r="S20" s="54"/>
      <c r="T20" s="194">
        <f t="shared" si="16"/>
        <v>0</v>
      </c>
      <c r="U20" s="54"/>
      <c r="V20" s="54"/>
      <c r="W20" s="54"/>
      <c r="X20" s="194">
        <f t="shared" si="17"/>
        <v>0</v>
      </c>
      <c r="Y20" s="82"/>
      <c r="Z20" s="82"/>
      <c r="AA20" s="98"/>
      <c r="AB20" s="194">
        <v>1200</v>
      </c>
      <c r="AC20" s="54">
        <v>871</v>
      </c>
      <c r="AD20" s="54">
        <v>133.9</v>
      </c>
      <c r="AE20" s="84">
        <v>6</v>
      </c>
      <c r="AF20" s="188">
        <f t="shared" si="7"/>
        <v>2719.7</v>
      </c>
      <c r="AG20" s="54">
        <v>1186.9000000000001</v>
      </c>
      <c r="AH20" s="54">
        <v>330.2</v>
      </c>
      <c r="AI20" s="54">
        <v>2.6</v>
      </c>
      <c r="AJ20" s="188">
        <f t="shared" si="8"/>
        <v>4589.0999999999995</v>
      </c>
      <c r="AK20" s="54">
        <v>1560</v>
      </c>
      <c r="AL20" s="54">
        <v>306.8</v>
      </c>
      <c r="AM20" s="54">
        <v>2.6</v>
      </c>
      <c r="AN20" s="188">
        <f t="shared" si="9"/>
        <v>5734.4</v>
      </c>
      <c r="AO20" s="54">
        <v>1072.5000000000002</v>
      </c>
      <c r="AP20" s="54">
        <v>71.500000000000014</v>
      </c>
      <c r="AQ20" s="54">
        <v>1.3</v>
      </c>
      <c r="AR20" s="188">
        <f t="shared" si="10"/>
        <v>6696.4</v>
      </c>
      <c r="AS20" s="54">
        <v>929.50000000000023</v>
      </c>
      <c r="AT20" s="54">
        <v>32.5</v>
      </c>
      <c r="AU20" s="54">
        <v>0</v>
      </c>
    </row>
    <row r="21" spans="2:47" outlineLevel="1" x14ac:dyDescent="0.25">
      <c r="B21" s="52" t="s">
        <v>290</v>
      </c>
      <c r="C21" s="65" t="s">
        <v>22</v>
      </c>
      <c r="D21" s="194">
        <f t="shared" si="12"/>
        <v>0</v>
      </c>
      <c r="E21" s="82"/>
      <c r="F21" s="82"/>
      <c r="G21" s="98"/>
      <c r="H21" s="194">
        <f t="shared" si="13"/>
        <v>0</v>
      </c>
      <c r="I21" s="82"/>
      <c r="J21" s="82"/>
      <c r="K21" s="98"/>
      <c r="L21" s="194">
        <f t="shared" si="14"/>
        <v>0</v>
      </c>
      <c r="M21" s="54"/>
      <c r="N21" s="54"/>
      <c r="O21" s="84"/>
      <c r="P21" s="194">
        <f t="shared" si="15"/>
        <v>0</v>
      </c>
      <c r="Q21" s="54"/>
      <c r="R21" s="54"/>
      <c r="S21" s="54"/>
      <c r="T21" s="194">
        <f t="shared" si="16"/>
        <v>0</v>
      </c>
      <c r="U21" s="54"/>
      <c r="V21" s="54"/>
      <c r="W21" s="54"/>
      <c r="X21" s="194">
        <f t="shared" si="17"/>
        <v>0</v>
      </c>
      <c r="Y21" s="82"/>
      <c r="Z21" s="82"/>
      <c r="AA21" s="98"/>
      <c r="AB21" s="194">
        <f t="shared" si="18"/>
        <v>1572.5</v>
      </c>
      <c r="AC21" s="54">
        <v>1456</v>
      </c>
      <c r="AD21" s="54">
        <v>110.5</v>
      </c>
      <c r="AE21" s="84">
        <v>6</v>
      </c>
      <c r="AF21" s="188">
        <f t="shared" si="7"/>
        <v>2882.9</v>
      </c>
      <c r="AG21" s="54">
        <v>1137.5</v>
      </c>
      <c r="AH21" s="54">
        <v>169</v>
      </c>
      <c r="AI21" s="54">
        <v>3.9000000000000004</v>
      </c>
      <c r="AJ21" s="188">
        <f t="shared" si="8"/>
        <v>4531.3</v>
      </c>
      <c r="AK21" s="54">
        <v>1462.5</v>
      </c>
      <c r="AL21" s="54">
        <v>182</v>
      </c>
      <c r="AM21" s="54">
        <v>3.9000000000000004</v>
      </c>
      <c r="AN21" s="188">
        <f t="shared" si="9"/>
        <v>5918.4</v>
      </c>
      <c r="AO21" s="54">
        <v>1326</v>
      </c>
      <c r="AP21" s="54">
        <v>61.1</v>
      </c>
      <c r="AQ21" s="54">
        <v>0</v>
      </c>
      <c r="AR21" s="188">
        <f t="shared" si="10"/>
        <v>6880.4</v>
      </c>
      <c r="AS21" s="54">
        <v>929.50000000000023</v>
      </c>
      <c r="AT21" s="54">
        <v>32.5</v>
      </c>
      <c r="AU21" s="54">
        <v>0</v>
      </c>
    </row>
    <row r="22" spans="2:47" outlineLevel="1" x14ac:dyDescent="0.25">
      <c r="B22" s="52" t="s">
        <v>291</v>
      </c>
      <c r="C22" s="65" t="s">
        <v>22</v>
      </c>
      <c r="D22" s="194">
        <f t="shared" si="12"/>
        <v>0</v>
      </c>
      <c r="E22" s="82"/>
      <c r="F22" s="82"/>
      <c r="G22" s="98"/>
      <c r="H22" s="194">
        <f t="shared" si="13"/>
        <v>0</v>
      </c>
      <c r="I22" s="82"/>
      <c r="J22" s="82"/>
      <c r="K22" s="98"/>
      <c r="L22" s="194">
        <f t="shared" si="14"/>
        <v>0</v>
      </c>
      <c r="M22" s="54"/>
      <c r="N22" s="54"/>
      <c r="O22" s="84"/>
      <c r="P22" s="194">
        <f t="shared" si="15"/>
        <v>0</v>
      </c>
      <c r="Q22" s="54"/>
      <c r="R22" s="54"/>
      <c r="S22" s="54"/>
      <c r="T22" s="194">
        <f t="shared" si="16"/>
        <v>0</v>
      </c>
      <c r="U22" s="54"/>
      <c r="V22" s="54"/>
      <c r="W22" s="54"/>
      <c r="X22" s="194">
        <f t="shared" si="17"/>
        <v>0</v>
      </c>
      <c r="Y22" s="82"/>
      <c r="Z22" s="82"/>
      <c r="AA22" s="98"/>
      <c r="AB22" s="194">
        <f t="shared" si="18"/>
        <v>2193.8000000000002</v>
      </c>
      <c r="AC22" s="54">
        <v>1768</v>
      </c>
      <c r="AD22" s="54">
        <v>423.8</v>
      </c>
      <c r="AE22" s="84">
        <v>2</v>
      </c>
      <c r="AF22" s="188">
        <f t="shared" si="7"/>
        <v>2511</v>
      </c>
      <c r="AG22" s="54">
        <v>260</v>
      </c>
      <c r="AH22" s="54">
        <v>57.2</v>
      </c>
      <c r="AI22" s="54">
        <v>0</v>
      </c>
      <c r="AJ22" s="188">
        <f t="shared" si="8"/>
        <v>2732</v>
      </c>
      <c r="AK22" s="54">
        <v>182</v>
      </c>
      <c r="AL22" s="54">
        <v>39</v>
      </c>
      <c r="AM22" s="54">
        <v>0</v>
      </c>
      <c r="AN22" s="188">
        <f t="shared" si="9"/>
        <v>2771</v>
      </c>
      <c r="AO22" s="54">
        <v>36.4</v>
      </c>
      <c r="AP22" s="54">
        <v>2.6</v>
      </c>
      <c r="AQ22" s="54">
        <v>0</v>
      </c>
      <c r="AR22" s="188">
        <f t="shared" si="10"/>
        <v>2815.2</v>
      </c>
      <c r="AS22" s="54">
        <v>36.4</v>
      </c>
      <c r="AT22" s="54">
        <v>7.8000000000000007</v>
      </c>
      <c r="AU22" s="54">
        <v>0</v>
      </c>
    </row>
    <row r="23" spans="2:47" outlineLevel="1" x14ac:dyDescent="0.25">
      <c r="B23" s="52" t="s">
        <v>307</v>
      </c>
      <c r="C23" s="65"/>
      <c r="D23" s="194"/>
      <c r="E23" s="82"/>
      <c r="F23" s="82"/>
      <c r="G23" s="98"/>
      <c r="H23" s="194"/>
      <c r="I23" s="82"/>
      <c r="J23" s="82"/>
      <c r="K23" s="98"/>
      <c r="L23" s="194"/>
      <c r="M23" s="54"/>
      <c r="N23" s="54"/>
      <c r="O23" s="84"/>
      <c r="P23" s="194"/>
      <c r="Q23" s="54"/>
      <c r="R23" s="54"/>
      <c r="S23" s="54"/>
      <c r="T23" s="194"/>
      <c r="U23" s="54"/>
      <c r="V23" s="54"/>
      <c r="W23" s="54"/>
      <c r="X23" s="194"/>
      <c r="Y23" s="82"/>
      <c r="Z23" s="82"/>
      <c r="AA23" s="98"/>
      <c r="AB23" s="188">
        <f t="shared" si="18"/>
        <v>360.29500000000002</v>
      </c>
      <c r="AC23" s="54">
        <f t="shared" ref="AC23:AD24" si="19">AC15*1.15</f>
        <v>301.99</v>
      </c>
      <c r="AD23" s="54">
        <f t="shared" si="19"/>
        <v>58.305</v>
      </c>
      <c r="AE23" s="84">
        <v>0</v>
      </c>
      <c r="AF23" s="188">
        <f t="shared" si="7"/>
        <v>886.53500000000008</v>
      </c>
      <c r="AG23" s="54">
        <f t="shared" ref="AG23:AH23" si="20">AG15*1.15</f>
        <v>426.07499999999999</v>
      </c>
      <c r="AH23" s="54">
        <f t="shared" si="20"/>
        <v>100.16500000000001</v>
      </c>
      <c r="AI23" s="84">
        <v>0</v>
      </c>
      <c r="AJ23" s="188">
        <f t="shared" si="8"/>
        <v>1231.8800000000001</v>
      </c>
      <c r="AK23" s="54">
        <f t="shared" ref="AK23:AL23" si="21">AK15*1.15</f>
        <v>290.02999999999997</v>
      </c>
      <c r="AL23" s="54">
        <f t="shared" si="21"/>
        <v>55.314999999999998</v>
      </c>
      <c r="AM23" s="84">
        <v>0</v>
      </c>
      <c r="AN23" s="188">
        <f t="shared" si="9"/>
        <v>1444.17</v>
      </c>
      <c r="AO23" s="54">
        <f t="shared" ref="AO23:AP23" si="22">AO15*1.15</f>
        <v>179.39999999999998</v>
      </c>
      <c r="AP23" s="54">
        <f t="shared" si="22"/>
        <v>32.89</v>
      </c>
      <c r="AQ23" s="84">
        <v>0</v>
      </c>
      <c r="AR23" s="194">
        <f>AR15*1.15</f>
        <v>1557.7899999999997</v>
      </c>
      <c r="AS23" s="54">
        <f t="shared" ref="AS23:AT23" si="23">AS15*1.15</f>
        <v>104.64999999999999</v>
      </c>
      <c r="AT23" s="54">
        <f t="shared" si="23"/>
        <v>8.9700000000000006</v>
      </c>
      <c r="AU23" s="84">
        <v>0</v>
      </c>
    </row>
    <row r="24" spans="2:47" outlineLevel="1" x14ac:dyDescent="0.25">
      <c r="B24" s="52" t="s">
        <v>304</v>
      </c>
      <c r="C24" s="65"/>
      <c r="D24" s="194"/>
      <c r="E24" s="82"/>
      <c r="F24" s="82"/>
      <c r="G24" s="98"/>
      <c r="H24" s="194"/>
      <c r="I24" s="82"/>
      <c r="J24" s="82"/>
      <c r="K24" s="98"/>
      <c r="L24" s="194"/>
      <c r="M24" s="54"/>
      <c r="N24" s="54"/>
      <c r="O24" s="84"/>
      <c r="P24" s="194"/>
      <c r="Q24" s="54"/>
      <c r="R24" s="54"/>
      <c r="S24" s="54"/>
      <c r="T24" s="194"/>
      <c r="U24" s="54"/>
      <c r="V24" s="54"/>
      <c r="W24" s="54"/>
      <c r="X24" s="194"/>
      <c r="Y24" s="82"/>
      <c r="Z24" s="82"/>
      <c r="AA24" s="98"/>
      <c r="AB24" s="188">
        <f t="shared" si="18"/>
        <v>185.88</v>
      </c>
      <c r="AC24" s="54">
        <v>150</v>
      </c>
      <c r="AD24" s="54">
        <f t="shared" si="19"/>
        <v>35.880000000000003</v>
      </c>
      <c r="AE24" s="84">
        <v>0</v>
      </c>
      <c r="AF24" s="188">
        <f t="shared" si="7"/>
        <v>712.12</v>
      </c>
      <c r="AG24" s="54">
        <f t="shared" ref="AG24:AH24" si="24">AG16*1.15</f>
        <v>426.07499999999999</v>
      </c>
      <c r="AH24" s="54">
        <f t="shared" si="24"/>
        <v>100.16500000000001</v>
      </c>
      <c r="AI24" s="84">
        <v>0</v>
      </c>
      <c r="AJ24" s="188">
        <f t="shared" si="8"/>
        <v>1064.94</v>
      </c>
      <c r="AK24" s="54">
        <f t="shared" ref="AK24:AL24" si="25">AK16*1.15</f>
        <v>299</v>
      </c>
      <c r="AL24" s="54">
        <f t="shared" si="25"/>
        <v>53.82</v>
      </c>
      <c r="AM24" s="84">
        <v>0</v>
      </c>
      <c r="AN24" s="188">
        <f t="shared" si="9"/>
        <v>1277.23</v>
      </c>
      <c r="AO24" s="54">
        <f t="shared" ref="AO24:AP24" si="26">AO16*1.15</f>
        <v>179.39999999999998</v>
      </c>
      <c r="AP24" s="54">
        <f t="shared" si="26"/>
        <v>32.89</v>
      </c>
      <c r="AQ24" s="84">
        <v>0</v>
      </c>
      <c r="AR24" s="188">
        <f t="shared" si="10"/>
        <v>1389.355</v>
      </c>
      <c r="AS24" s="54">
        <f t="shared" ref="AS24:AT24" si="27">AS16*1.15</f>
        <v>104.64999999999999</v>
      </c>
      <c r="AT24" s="54">
        <f t="shared" si="27"/>
        <v>7.4749999999999996</v>
      </c>
      <c r="AU24" s="84">
        <v>0</v>
      </c>
    </row>
    <row r="25" spans="2:47" outlineLevel="1" x14ac:dyDescent="0.25">
      <c r="B25" s="52" t="s">
        <v>305</v>
      </c>
      <c r="C25" s="65"/>
      <c r="D25" s="194"/>
      <c r="E25" s="82"/>
      <c r="F25" s="82"/>
      <c r="G25" s="98"/>
      <c r="H25" s="194"/>
      <c r="I25" s="82"/>
      <c r="J25" s="82"/>
      <c r="K25" s="98"/>
      <c r="L25" s="194"/>
      <c r="M25" s="54"/>
      <c r="N25" s="54"/>
      <c r="O25" s="84"/>
      <c r="P25" s="194"/>
      <c r="Q25" s="54"/>
      <c r="R25" s="54"/>
      <c r="S25" s="54"/>
      <c r="T25" s="194"/>
      <c r="U25" s="54"/>
      <c r="V25" s="54"/>
      <c r="W25" s="54"/>
      <c r="X25" s="194"/>
      <c r="Y25" s="82"/>
      <c r="Z25" s="82"/>
      <c r="AA25" s="98"/>
      <c r="AB25" s="194">
        <f t="shared" si="18"/>
        <v>390.64349999999996</v>
      </c>
      <c r="AC25" s="54">
        <f t="shared" ref="AC25:AD25" si="28">AC14*1.15</f>
        <v>340.11249999999995</v>
      </c>
      <c r="AD25" s="54">
        <f t="shared" si="28"/>
        <v>50.530999999999999</v>
      </c>
      <c r="AE25" s="84">
        <v>0</v>
      </c>
      <c r="AF25" s="188">
        <f t="shared" si="7"/>
        <v>679.17849999999999</v>
      </c>
      <c r="AG25" s="54">
        <f t="shared" ref="AG25:AH25" si="29">AG14*1.15</f>
        <v>243.68499999999997</v>
      </c>
      <c r="AH25" s="54">
        <f t="shared" si="29"/>
        <v>44.849999999999994</v>
      </c>
      <c r="AI25" s="84">
        <v>0</v>
      </c>
      <c r="AJ25" s="188">
        <f t="shared" si="8"/>
        <v>854.09349999999995</v>
      </c>
      <c r="AK25" s="54">
        <f t="shared" ref="AK25:AL25" si="30">AK14*1.15</f>
        <v>159.96499999999997</v>
      </c>
      <c r="AL25" s="54">
        <f t="shared" si="30"/>
        <v>14.95</v>
      </c>
      <c r="AM25" s="84">
        <v>0</v>
      </c>
      <c r="AN25" s="188">
        <f t="shared" si="9"/>
        <v>945.28849999999989</v>
      </c>
      <c r="AO25" s="54">
        <f t="shared" ref="AO25:AP25" si="31">AO14*1.15</f>
        <v>91.194999999999993</v>
      </c>
      <c r="AP25" s="54">
        <f t="shared" si="31"/>
        <v>0</v>
      </c>
      <c r="AQ25" s="84">
        <v>0</v>
      </c>
      <c r="AR25" s="188">
        <f t="shared" si="10"/>
        <v>994.62349999999992</v>
      </c>
      <c r="AS25" s="54">
        <f t="shared" ref="AS25:AT25" si="32">AS14*1.15</f>
        <v>49.334999999999994</v>
      </c>
      <c r="AT25" s="54">
        <f t="shared" si="32"/>
        <v>0</v>
      </c>
      <c r="AU25" s="84">
        <v>0</v>
      </c>
    </row>
    <row r="26" spans="2:47" outlineLevel="1" x14ac:dyDescent="0.25">
      <c r="B26" s="52" t="s">
        <v>306</v>
      </c>
      <c r="C26" s="65"/>
      <c r="D26" s="194"/>
      <c r="E26" s="82"/>
      <c r="F26" s="82"/>
      <c r="G26" s="98"/>
      <c r="H26" s="194"/>
      <c r="I26" s="82"/>
      <c r="J26" s="82"/>
      <c r="K26" s="98"/>
      <c r="L26" s="194"/>
      <c r="M26" s="54"/>
      <c r="N26" s="54"/>
      <c r="O26" s="84"/>
      <c r="P26" s="194"/>
      <c r="Q26" s="54"/>
      <c r="R26" s="54"/>
      <c r="S26" s="54"/>
      <c r="T26" s="194"/>
      <c r="U26" s="54"/>
      <c r="V26" s="54"/>
      <c r="W26" s="54"/>
      <c r="X26" s="194"/>
      <c r="Y26" s="82"/>
      <c r="Z26" s="82"/>
      <c r="AA26" s="98"/>
      <c r="AB26" s="194">
        <f t="shared" si="18"/>
        <v>315.88</v>
      </c>
      <c r="AC26" s="54">
        <v>280</v>
      </c>
      <c r="AD26" s="54">
        <f>AD16*1.15</f>
        <v>35.880000000000003</v>
      </c>
      <c r="AE26" s="84">
        <v>0</v>
      </c>
      <c r="AF26" s="188">
        <f t="shared" si="7"/>
        <v>666.04500000000007</v>
      </c>
      <c r="AG26" s="54">
        <v>250</v>
      </c>
      <c r="AH26" s="54">
        <f>AH16*1.15</f>
        <v>100.16500000000001</v>
      </c>
      <c r="AI26" s="84">
        <v>0</v>
      </c>
      <c r="AJ26" s="188">
        <f t="shared" si="8"/>
        <v>856.04500000000007</v>
      </c>
      <c r="AK26" s="54">
        <v>160</v>
      </c>
      <c r="AL26" s="54">
        <v>30</v>
      </c>
      <c r="AM26" s="84">
        <v>0</v>
      </c>
      <c r="AN26" s="188">
        <f t="shared" si="9"/>
        <v>968.93500000000006</v>
      </c>
      <c r="AO26" s="54">
        <v>80</v>
      </c>
      <c r="AP26" s="54">
        <f>AP16*1.15</f>
        <v>32.89</v>
      </c>
      <c r="AQ26" s="84">
        <v>0</v>
      </c>
      <c r="AR26" s="188">
        <f t="shared" si="10"/>
        <v>1036.4100000000001</v>
      </c>
      <c r="AS26" s="54">
        <v>60</v>
      </c>
      <c r="AT26" s="54">
        <f>AT16*1.15</f>
        <v>7.4749999999999996</v>
      </c>
      <c r="AU26" s="84">
        <v>0</v>
      </c>
    </row>
    <row r="27" spans="2:47" outlineLevel="1" x14ac:dyDescent="0.25">
      <c r="B27" s="52" t="s">
        <v>308</v>
      </c>
      <c r="C27" s="65"/>
      <c r="D27" s="194"/>
      <c r="E27" s="82"/>
      <c r="F27" s="82"/>
      <c r="G27" s="98"/>
      <c r="H27" s="194"/>
      <c r="I27" s="82"/>
      <c r="J27" s="82"/>
      <c r="K27" s="98"/>
      <c r="L27" s="194"/>
      <c r="M27" s="54"/>
      <c r="N27" s="54"/>
      <c r="O27" s="84"/>
      <c r="P27" s="194"/>
      <c r="Q27" s="54"/>
      <c r="R27" s="54"/>
      <c r="S27" s="54"/>
      <c r="T27" s="194"/>
      <c r="U27" s="54"/>
      <c r="V27" s="54"/>
      <c r="W27" s="54"/>
      <c r="X27" s="194"/>
      <c r="Y27" s="82"/>
      <c r="Z27" s="82"/>
      <c r="AA27" s="98"/>
      <c r="AB27" s="194">
        <f t="shared" si="18"/>
        <v>330</v>
      </c>
      <c r="AC27" s="54">
        <v>290</v>
      </c>
      <c r="AD27" s="54">
        <v>40</v>
      </c>
      <c r="AE27" s="84">
        <v>0</v>
      </c>
      <c r="AF27" s="188">
        <f t="shared" si="7"/>
        <v>680</v>
      </c>
      <c r="AG27" s="54">
        <v>250</v>
      </c>
      <c r="AH27" s="54">
        <v>100</v>
      </c>
      <c r="AI27" s="84">
        <v>0</v>
      </c>
      <c r="AJ27" s="188">
        <f t="shared" si="8"/>
        <v>869.96499999999992</v>
      </c>
      <c r="AK27" s="54">
        <f>AK14*1.15</f>
        <v>159.96499999999997</v>
      </c>
      <c r="AL27" s="54">
        <v>30</v>
      </c>
      <c r="AM27" s="84">
        <v>0</v>
      </c>
      <c r="AN27" s="188">
        <f t="shared" si="9"/>
        <v>977.90499999999997</v>
      </c>
      <c r="AO27" s="54">
        <v>90</v>
      </c>
      <c r="AP27" s="54">
        <f t="shared" ref="AP27" si="33">AP19*1.15</f>
        <v>17.940000000000001</v>
      </c>
      <c r="AQ27" s="84">
        <v>0</v>
      </c>
      <c r="AR27" s="188">
        <f t="shared" si="10"/>
        <v>1033.885</v>
      </c>
      <c r="AS27" s="54">
        <v>50</v>
      </c>
      <c r="AT27" s="54">
        <f t="shared" ref="AT27" si="34">AT19*1.15</f>
        <v>5.9799999999999995</v>
      </c>
      <c r="AU27" s="84">
        <v>0</v>
      </c>
    </row>
    <row r="28" spans="2:47" outlineLevel="1" x14ac:dyDescent="0.25">
      <c r="B28" s="52"/>
      <c r="C28" s="65"/>
      <c r="D28" s="194"/>
      <c r="E28" s="82"/>
      <c r="F28" s="82"/>
      <c r="G28" s="98"/>
      <c r="H28" s="194"/>
      <c r="I28" s="82"/>
      <c r="J28" s="82"/>
      <c r="K28" s="98"/>
      <c r="L28" s="194"/>
      <c r="M28" s="54"/>
      <c r="N28" s="54"/>
      <c r="O28" s="84"/>
      <c r="P28" s="194"/>
      <c r="Q28" s="54"/>
      <c r="R28" s="54"/>
      <c r="S28" s="54"/>
      <c r="T28" s="194"/>
      <c r="U28" s="54"/>
      <c r="V28" s="54"/>
      <c r="W28" s="54"/>
      <c r="X28" s="194"/>
      <c r="Y28" s="82"/>
      <c r="Z28" s="82"/>
      <c r="AA28" s="98"/>
      <c r="AB28" s="194"/>
      <c r="AC28" s="54"/>
      <c r="AD28" s="54"/>
      <c r="AE28" s="84"/>
      <c r="AF28" s="188"/>
      <c r="AG28" s="54"/>
      <c r="AH28" s="54"/>
      <c r="AI28" s="54"/>
      <c r="AJ28" s="188"/>
      <c r="AK28" s="54"/>
      <c r="AL28" s="54"/>
      <c r="AM28" s="54"/>
      <c r="AN28" s="188"/>
      <c r="AO28" s="54"/>
      <c r="AP28" s="54"/>
      <c r="AQ28" s="54"/>
      <c r="AR28" s="188"/>
      <c r="AS28" s="54"/>
      <c r="AT28" s="54"/>
      <c r="AU28" s="54"/>
    </row>
    <row r="29" spans="2:47" outlineLevel="1" x14ac:dyDescent="0.25">
      <c r="B29" s="349" t="s">
        <v>90</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97"/>
    </row>
    <row r="30" spans="2:47" outlineLevel="1" x14ac:dyDescent="0.25">
      <c r="B30" s="52" t="s">
        <v>84</v>
      </c>
      <c r="C30" s="49" t="s">
        <v>22</v>
      </c>
      <c r="D30" s="188">
        <f t="shared" ref="D30:AU30" si="35">SUM(D14:D28)</f>
        <v>0</v>
      </c>
      <c r="E30" s="187">
        <f t="shared" si="35"/>
        <v>0</v>
      </c>
      <c r="F30" s="187">
        <f t="shared" si="35"/>
        <v>0</v>
      </c>
      <c r="G30" s="189">
        <f t="shared" si="35"/>
        <v>0</v>
      </c>
      <c r="H30" s="188">
        <f t="shared" si="35"/>
        <v>0</v>
      </c>
      <c r="I30" s="187">
        <f t="shared" si="35"/>
        <v>0</v>
      </c>
      <c r="J30" s="187">
        <f t="shared" si="35"/>
        <v>0</v>
      </c>
      <c r="K30" s="189">
        <f t="shared" si="35"/>
        <v>0</v>
      </c>
      <c r="L30" s="188">
        <f t="shared" si="35"/>
        <v>0</v>
      </c>
      <c r="M30" s="187">
        <f t="shared" si="35"/>
        <v>0</v>
      </c>
      <c r="N30" s="187">
        <f t="shared" si="35"/>
        <v>0</v>
      </c>
      <c r="O30" s="189">
        <f t="shared" si="35"/>
        <v>0</v>
      </c>
      <c r="P30" s="188">
        <f t="shared" si="35"/>
        <v>0</v>
      </c>
      <c r="Q30" s="187">
        <f t="shared" si="35"/>
        <v>0</v>
      </c>
      <c r="R30" s="187">
        <f t="shared" si="35"/>
        <v>0</v>
      </c>
      <c r="S30" s="189">
        <f t="shared" si="35"/>
        <v>0</v>
      </c>
      <c r="T30" s="188">
        <f t="shared" si="35"/>
        <v>0</v>
      </c>
      <c r="U30" s="187">
        <f t="shared" si="35"/>
        <v>0</v>
      </c>
      <c r="V30" s="187">
        <f t="shared" si="35"/>
        <v>0</v>
      </c>
      <c r="W30" s="189">
        <f t="shared" si="35"/>
        <v>0</v>
      </c>
      <c r="X30" s="188">
        <f t="shared" si="35"/>
        <v>0</v>
      </c>
      <c r="Y30" s="187">
        <f t="shared" si="35"/>
        <v>0</v>
      </c>
      <c r="Z30" s="187">
        <f t="shared" si="35"/>
        <v>0</v>
      </c>
      <c r="AA30" s="189">
        <f t="shared" si="35"/>
        <v>0</v>
      </c>
      <c r="AB30" s="188">
        <f t="shared" si="35"/>
        <v>9210.9884999999995</v>
      </c>
      <c r="AC30" s="187">
        <f t="shared" si="35"/>
        <v>7832.8525</v>
      </c>
      <c r="AD30" s="187">
        <f t="shared" si="35"/>
        <v>1155.0360000000001</v>
      </c>
      <c r="AE30" s="189">
        <f t="shared" si="35"/>
        <v>34</v>
      </c>
      <c r="AF30" s="188">
        <f t="shared" si="35"/>
        <v>18287.768499999998</v>
      </c>
      <c r="AG30" s="187">
        <f t="shared" si="35"/>
        <v>7310.6350000000002</v>
      </c>
      <c r="AH30" s="187">
        <f t="shared" si="35"/>
        <v>1746.645</v>
      </c>
      <c r="AI30" s="189">
        <f t="shared" si="35"/>
        <v>19.5</v>
      </c>
      <c r="AJ30" s="188">
        <f t="shared" si="35"/>
        <v>26341.113499999996</v>
      </c>
      <c r="AK30" s="187">
        <f t="shared" si="35"/>
        <v>6991.76</v>
      </c>
      <c r="AL30" s="187">
        <f t="shared" si="35"/>
        <v>1045.9850000000001</v>
      </c>
      <c r="AM30" s="189">
        <f t="shared" si="35"/>
        <v>15.6</v>
      </c>
      <c r="AN30" s="188">
        <f t="shared" si="35"/>
        <v>31683.358499999998</v>
      </c>
      <c r="AO30" s="187">
        <f t="shared" si="35"/>
        <v>4916.2349999999988</v>
      </c>
      <c r="AP30" s="187">
        <f t="shared" si="35"/>
        <v>420.81</v>
      </c>
      <c r="AQ30" s="189">
        <f t="shared" si="35"/>
        <v>5.2</v>
      </c>
      <c r="AR30" s="188">
        <f t="shared" si="35"/>
        <v>35369.59350000001</v>
      </c>
      <c r="AS30" s="187">
        <f t="shared" si="35"/>
        <v>3509.4350000000009</v>
      </c>
      <c r="AT30" s="187">
        <f t="shared" si="35"/>
        <v>172.89999999999998</v>
      </c>
      <c r="AU30" s="189">
        <f t="shared" si="35"/>
        <v>3.9000000000000004</v>
      </c>
    </row>
    <row r="31" spans="2:47" outlineLevel="1" x14ac:dyDescent="0.25">
      <c r="B31" s="17" t="s">
        <v>201</v>
      </c>
      <c r="X31" s="55" t="s">
        <v>278</v>
      </c>
    </row>
    <row r="32" spans="2:47" outlineLevel="1" x14ac:dyDescent="0.25">
      <c r="B32" s="17" t="s">
        <v>175</v>
      </c>
    </row>
    <row r="34" spans="2:47" ht="15.75" x14ac:dyDescent="0.25">
      <c r="B34" s="352" t="s">
        <v>91</v>
      </c>
      <c r="C34" s="352"/>
      <c r="D34" s="352"/>
      <c r="E34" s="352"/>
      <c r="F34" s="352"/>
      <c r="G34" s="352"/>
      <c r="H34" s="352"/>
      <c r="I34" s="352"/>
      <c r="J34" s="352"/>
      <c r="K34" s="352"/>
      <c r="L34" s="352"/>
      <c r="M34" s="352"/>
      <c r="N34" s="352"/>
      <c r="O34" s="57"/>
      <c r="P34" s="57"/>
      <c r="Q34" s="57"/>
      <c r="R34" s="57"/>
      <c r="S34" s="57"/>
      <c r="T34" s="57"/>
      <c r="U34" s="57"/>
      <c r="V34" s="57"/>
      <c r="W34" s="57"/>
      <c r="X34" s="57"/>
      <c r="AJ34" s="57"/>
      <c r="AK34" s="57"/>
      <c r="AL34" s="57"/>
      <c r="AM34" s="57"/>
      <c r="AN34" s="57"/>
      <c r="AO34" s="57"/>
      <c r="AP34" s="57"/>
      <c r="AQ34" s="57"/>
      <c r="AR34" s="57"/>
    </row>
    <row r="35" spans="2:47" ht="5.45" customHeight="1" outlineLevel="1" x14ac:dyDescent="0.2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J35" s="115"/>
      <c r="AK35" s="115"/>
      <c r="AL35" s="115"/>
      <c r="AM35" s="115"/>
      <c r="AN35" s="115"/>
      <c r="AO35" s="115"/>
      <c r="AP35" s="115"/>
      <c r="AQ35" s="115"/>
      <c r="AR35" s="115"/>
    </row>
    <row r="36" spans="2:47" ht="15" customHeight="1" outlineLevel="1" x14ac:dyDescent="0.25">
      <c r="B36" s="400"/>
      <c r="C36" s="385" t="s">
        <v>20</v>
      </c>
      <c r="D36" s="372" t="s">
        <v>262</v>
      </c>
      <c r="E36" s="373"/>
      <c r="F36" s="373"/>
      <c r="G36" s="373"/>
      <c r="H36" s="374"/>
      <c r="I36" s="277" t="s">
        <v>260</v>
      </c>
      <c r="J36" s="372" t="s">
        <v>261</v>
      </c>
      <c r="K36" s="373"/>
      <c r="L36" s="373"/>
      <c r="M36" s="373"/>
      <c r="N36" s="374"/>
    </row>
    <row r="37" spans="2:47" ht="15" customHeight="1" outlineLevel="1" x14ac:dyDescent="0.25">
      <c r="B37" s="401"/>
      <c r="C37" s="386"/>
      <c r="D37" s="88">
        <f>$C$3-5</f>
        <v>2018</v>
      </c>
      <c r="E37" s="88">
        <f>$C$3-4</f>
        <v>2019</v>
      </c>
      <c r="F37" s="88">
        <f>$C$3-3</f>
        <v>2020</v>
      </c>
      <c r="G37" s="88">
        <f>$C$3-2</f>
        <v>2021</v>
      </c>
      <c r="H37" s="88" t="str">
        <f>$C$3-1&amp;""&amp;" ("&amp;"Σεπτ"&amp;")"</f>
        <v>2022 (Σεπτ)</v>
      </c>
      <c r="I37" s="88">
        <f>$C$3-1</f>
        <v>2022</v>
      </c>
      <c r="J37" s="88">
        <f>$C$3</f>
        <v>2023</v>
      </c>
      <c r="K37" s="88">
        <f>$C$3+1</f>
        <v>2024</v>
      </c>
      <c r="L37" s="88">
        <f>$C$3+2</f>
        <v>2025</v>
      </c>
      <c r="M37" s="88">
        <f>$C$3+3</f>
        <v>2026</v>
      </c>
      <c r="N37" s="88">
        <f>$C$3+4</f>
        <v>2027</v>
      </c>
      <c r="P37" s="327"/>
      <c r="Q37" s="327"/>
      <c r="R37" s="327"/>
      <c r="S37" s="327"/>
      <c r="T37" s="327"/>
      <c r="U37" s="327"/>
      <c r="V37" s="327"/>
      <c r="W37" s="327"/>
      <c r="X37" s="327"/>
    </row>
    <row r="38" spans="2:47" ht="15" customHeight="1" outlineLevel="1" x14ac:dyDescent="0.25">
      <c r="B38" s="281" t="s">
        <v>283</v>
      </c>
      <c r="C38" s="64" t="s">
        <v>22</v>
      </c>
      <c r="D38" s="89"/>
      <c r="E38" s="89"/>
      <c r="F38" s="89"/>
      <c r="G38" s="89"/>
      <c r="H38" s="89"/>
      <c r="I38" s="89"/>
      <c r="J38" s="89">
        <v>2894.4</v>
      </c>
      <c r="K38" s="89">
        <f>J38*1.1</f>
        <v>3183.84</v>
      </c>
      <c r="L38" s="89">
        <f t="shared" ref="L38:N38" si="36">K38*1.1</f>
        <v>3502.2240000000006</v>
      </c>
      <c r="M38" s="89">
        <f t="shared" si="36"/>
        <v>3852.4464000000012</v>
      </c>
      <c r="N38" s="89">
        <f t="shared" si="36"/>
        <v>4237.6910400000015</v>
      </c>
      <c r="P38" s="327"/>
      <c r="Q38" s="327"/>
      <c r="R38" s="327"/>
      <c r="S38" s="327"/>
      <c r="T38" s="327"/>
      <c r="U38" s="327"/>
      <c r="V38" s="327"/>
      <c r="W38" s="327"/>
      <c r="X38" s="327"/>
    </row>
    <row r="39" spans="2:47" ht="15" customHeight="1" outlineLevel="1" x14ac:dyDescent="0.25">
      <c r="B39" s="52" t="s">
        <v>284</v>
      </c>
      <c r="C39" s="64" t="s">
        <v>22</v>
      </c>
      <c r="D39" s="89"/>
      <c r="E39" s="89"/>
      <c r="F39" s="89"/>
      <c r="G39" s="89"/>
      <c r="H39" s="89"/>
      <c r="I39" s="89"/>
      <c r="J39" s="89">
        <v>2664</v>
      </c>
      <c r="K39" s="89">
        <f t="shared" ref="K39:N39" si="37">J39*1.1</f>
        <v>2930.4</v>
      </c>
      <c r="L39" s="89">
        <f t="shared" si="37"/>
        <v>3223.4400000000005</v>
      </c>
      <c r="M39" s="89">
        <f t="shared" si="37"/>
        <v>3545.784000000001</v>
      </c>
      <c r="N39" s="89">
        <f t="shared" si="37"/>
        <v>3900.3624000000013</v>
      </c>
      <c r="P39" s="327"/>
      <c r="Q39" s="327"/>
      <c r="R39" s="327"/>
      <c r="S39" s="327"/>
      <c r="T39" s="327"/>
      <c r="U39" s="327"/>
      <c r="V39" s="327"/>
      <c r="W39" s="327"/>
      <c r="X39" s="327"/>
      <c r="AJ39" s="432"/>
      <c r="AK39" s="432"/>
      <c r="AL39" s="432"/>
      <c r="AM39" s="432"/>
      <c r="AN39" s="432"/>
      <c r="AO39" s="432"/>
      <c r="AP39" s="432"/>
      <c r="AQ39" s="432"/>
      <c r="AR39" s="432"/>
      <c r="AS39" s="432"/>
      <c r="AT39" s="432"/>
      <c r="AU39" s="432"/>
    </row>
    <row r="40" spans="2:47" ht="15" customHeight="1" outlineLevel="1" x14ac:dyDescent="0.25">
      <c r="B40" s="52" t="s">
        <v>285</v>
      </c>
      <c r="C40" s="64" t="s">
        <v>22</v>
      </c>
      <c r="D40" s="89"/>
      <c r="E40" s="89"/>
      <c r="F40" s="89"/>
      <c r="G40" s="89"/>
      <c r="H40" s="89"/>
      <c r="I40" s="89"/>
      <c r="J40" s="89">
        <v>2275.1999999999998</v>
      </c>
      <c r="K40" s="89">
        <f t="shared" ref="K40:N40" si="38">J40*1.1</f>
        <v>2502.7199999999998</v>
      </c>
      <c r="L40" s="89">
        <f t="shared" si="38"/>
        <v>2752.9920000000002</v>
      </c>
      <c r="M40" s="89">
        <f t="shared" si="38"/>
        <v>3028.2912000000006</v>
      </c>
      <c r="N40" s="89">
        <f t="shared" si="38"/>
        <v>3331.1203200000009</v>
      </c>
      <c r="P40" s="327"/>
      <c r="Q40" s="327"/>
      <c r="R40" s="327"/>
      <c r="S40" s="327"/>
      <c r="T40" s="327"/>
      <c r="U40" s="327"/>
      <c r="V40" s="327"/>
      <c r="W40" s="327"/>
      <c r="X40" s="327"/>
      <c r="AJ40" s="325"/>
      <c r="AK40" s="325"/>
      <c r="AL40" s="325"/>
      <c r="AM40" s="325"/>
      <c r="AN40" s="325"/>
      <c r="AO40" s="325"/>
      <c r="AP40" s="325"/>
      <c r="AQ40" s="325"/>
      <c r="AR40" s="325"/>
      <c r="AS40" s="325"/>
      <c r="AT40" s="325"/>
      <c r="AU40" s="325"/>
    </row>
    <row r="41" spans="2:47" ht="15" customHeight="1" outlineLevel="1" x14ac:dyDescent="0.25">
      <c r="B41" s="52" t="s">
        <v>286</v>
      </c>
      <c r="C41" s="64" t="s">
        <v>22</v>
      </c>
      <c r="D41" s="89"/>
      <c r="E41" s="89"/>
      <c r="F41" s="89"/>
      <c r="G41" s="89"/>
      <c r="H41" s="89"/>
      <c r="I41" s="89"/>
      <c r="J41" s="89">
        <v>4910.3999999999996</v>
      </c>
      <c r="K41" s="89">
        <f t="shared" ref="K41:N41" si="39">J41*1.1</f>
        <v>5401.44</v>
      </c>
      <c r="L41" s="89">
        <f t="shared" si="39"/>
        <v>5941.5839999999998</v>
      </c>
      <c r="M41" s="89">
        <f t="shared" si="39"/>
        <v>6535.7424000000001</v>
      </c>
      <c r="N41" s="89">
        <f t="shared" si="39"/>
        <v>7189.3166400000009</v>
      </c>
      <c r="P41" s="327"/>
      <c r="Q41" s="327"/>
      <c r="R41" s="327"/>
      <c r="S41" s="327"/>
      <c r="T41" s="327"/>
      <c r="U41" s="327"/>
      <c r="V41" s="327"/>
      <c r="W41" s="327"/>
      <c r="X41" s="327"/>
      <c r="AJ41" s="322"/>
      <c r="AK41" s="322"/>
      <c r="AL41" s="322"/>
      <c r="AM41" s="322"/>
      <c r="AN41" s="322"/>
      <c r="AO41" s="322"/>
      <c r="AP41" s="322"/>
      <c r="AQ41" s="322"/>
      <c r="AR41" s="322"/>
      <c r="AS41" s="322"/>
      <c r="AT41" s="322"/>
      <c r="AU41" s="322"/>
    </row>
    <row r="42" spans="2:47" ht="15" customHeight="1" outlineLevel="1" x14ac:dyDescent="0.25">
      <c r="B42" s="52" t="s">
        <v>287</v>
      </c>
      <c r="C42" s="64" t="s">
        <v>22</v>
      </c>
      <c r="D42" s="89"/>
      <c r="E42" s="89"/>
      <c r="F42" s="89"/>
      <c r="G42" s="89"/>
      <c r="H42" s="89"/>
      <c r="I42" s="89"/>
      <c r="J42" s="89">
        <v>5860.8</v>
      </c>
      <c r="K42" s="89">
        <f t="shared" ref="K42:N42" si="40">J42*1.1</f>
        <v>6446.880000000001</v>
      </c>
      <c r="L42" s="89">
        <f t="shared" si="40"/>
        <v>7091.568000000002</v>
      </c>
      <c r="M42" s="89">
        <f t="shared" si="40"/>
        <v>7800.7248000000027</v>
      </c>
      <c r="N42" s="89">
        <f t="shared" si="40"/>
        <v>8580.7972800000043</v>
      </c>
      <c r="P42" s="327"/>
      <c r="Q42" s="327"/>
      <c r="R42" s="327"/>
      <c r="S42" s="327"/>
      <c r="T42" s="327"/>
      <c r="U42" s="327"/>
      <c r="V42" s="327"/>
      <c r="W42" s="327"/>
      <c r="X42" s="327"/>
      <c r="AJ42" s="322"/>
      <c r="AK42" s="322"/>
      <c r="AL42" s="322"/>
      <c r="AM42" s="322"/>
      <c r="AN42" s="322"/>
      <c r="AO42" s="322"/>
      <c r="AP42" s="322"/>
      <c r="AQ42" s="322"/>
      <c r="AR42" s="322"/>
      <c r="AS42" s="322"/>
      <c r="AT42" s="322"/>
      <c r="AU42" s="322"/>
    </row>
    <row r="43" spans="2:47" ht="15" customHeight="1" outlineLevel="1" x14ac:dyDescent="0.25">
      <c r="B43" s="52" t="s">
        <v>288</v>
      </c>
      <c r="C43" s="64" t="s">
        <v>22</v>
      </c>
      <c r="D43" s="89"/>
      <c r="E43" s="89"/>
      <c r="F43" s="89"/>
      <c r="G43" s="89"/>
      <c r="H43" s="89"/>
      <c r="I43" s="89"/>
      <c r="J43" s="89">
        <v>4032</v>
      </c>
      <c r="K43" s="89">
        <f t="shared" ref="K43:N43" si="41">J43*1.1</f>
        <v>4435.2000000000007</v>
      </c>
      <c r="L43" s="89">
        <f t="shared" si="41"/>
        <v>4878.7200000000012</v>
      </c>
      <c r="M43" s="89">
        <f t="shared" si="41"/>
        <v>5366.5920000000015</v>
      </c>
      <c r="N43" s="89">
        <f t="shared" si="41"/>
        <v>5903.2512000000024</v>
      </c>
      <c r="P43" s="327"/>
      <c r="Q43" s="327"/>
      <c r="R43" s="327"/>
      <c r="S43" s="327"/>
      <c r="T43" s="327"/>
      <c r="U43" s="327"/>
      <c r="V43" s="327"/>
      <c r="W43" s="327"/>
      <c r="X43" s="327"/>
      <c r="AJ43" s="322"/>
      <c r="AK43" s="322"/>
      <c r="AL43" s="322"/>
      <c r="AM43" s="322"/>
      <c r="AN43" s="322"/>
      <c r="AO43" s="322"/>
      <c r="AP43" s="322"/>
      <c r="AQ43" s="322"/>
      <c r="AR43" s="322"/>
      <c r="AS43" s="322"/>
      <c r="AT43" s="322"/>
      <c r="AU43" s="322"/>
    </row>
    <row r="44" spans="2:47" ht="15" customHeight="1" outlineLevel="1" x14ac:dyDescent="0.25">
      <c r="B44" s="52" t="s">
        <v>289</v>
      </c>
      <c r="C44" s="64" t="s">
        <v>22</v>
      </c>
      <c r="D44" s="89"/>
      <c r="E44" s="89"/>
      <c r="F44" s="89"/>
      <c r="G44" s="89"/>
      <c r="H44" s="89"/>
      <c r="I44" s="89"/>
      <c r="J44" s="89">
        <v>11894.400000000001</v>
      </c>
      <c r="K44" s="89">
        <f t="shared" ref="K44:N44" si="42">J44*1.1</f>
        <v>13083.840000000002</v>
      </c>
      <c r="L44" s="89">
        <f t="shared" si="42"/>
        <v>14392.224000000004</v>
      </c>
      <c r="M44" s="89">
        <f t="shared" si="42"/>
        <v>15831.446400000006</v>
      </c>
      <c r="N44" s="89">
        <f t="shared" si="42"/>
        <v>17414.591040000007</v>
      </c>
      <c r="P44" s="327"/>
      <c r="Q44" s="327"/>
      <c r="R44" s="327"/>
      <c r="S44" s="327"/>
      <c r="T44" s="327"/>
      <c r="U44" s="327"/>
      <c r="V44" s="327"/>
      <c r="W44" s="327"/>
      <c r="X44" s="327"/>
      <c r="AJ44" s="322"/>
      <c r="AK44" s="322"/>
      <c r="AL44" s="322"/>
      <c r="AM44" s="322"/>
      <c r="AN44" s="322"/>
      <c r="AO44" s="322"/>
      <c r="AP44" s="322"/>
      <c r="AQ44" s="322"/>
      <c r="AR44" s="322"/>
      <c r="AS44" s="322"/>
      <c r="AT44" s="322"/>
      <c r="AU44" s="322"/>
    </row>
    <row r="45" spans="2:47" ht="15" customHeight="1" outlineLevel="1" x14ac:dyDescent="0.25">
      <c r="B45" s="52" t="s">
        <v>290</v>
      </c>
      <c r="C45" s="64" t="s">
        <v>22</v>
      </c>
      <c r="D45" s="89"/>
      <c r="E45" s="89"/>
      <c r="F45" s="89"/>
      <c r="G45" s="89"/>
      <c r="H45" s="89"/>
      <c r="I45" s="89"/>
      <c r="J45" s="89">
        <v>13392.000000000002</v>
      </c>
      <c r="K45" s="89">
        <f t="shared" ref="K45:N45" si="43">J45*1.1</f>
        <v>14731.200000000003</v>
      </c>
      <c r="L45" s="89">
        <f t="shared" si="43"/>
        <v>16204.320000000003</v>
      </c>
      <c r="M45" s="89">
        <f t="shared" si="43"/>
        <v>17824.752000000004</v>
      </c>
      <c r="N45" s="89">
        <f t="shared" si="43"/>
        <v>19607.227200000005</v>
      </c>
      <c r="O45" s="40"/>
      <c r="P45" s="327"/>
      <c r="Q45" s="327"/>
      <c r="R45" s="327"/>
      <c r="S45" s="327"/>
      <c r="T45" s="327"/>
      <c r="U45" s="327"/>
      <c r="V45" s="327"/>
      <c r="W45" s="327"/>
      <c r="X45" s="327"/>
      <c r="AJ45" s="322"/>
      <c r="AK45" s="322"/>
      <c r="AL45" s="322"/>
      <c r="AM45" s="322"/>
      <c r="AN45" s="322"/>
      <c r="AO45" s="322"/>
      <c r="AP45" s="322"/>
      <c r="AQ45" s="322"/>
      <c r="AR45" s="322"/>
      <c r="AS45" s="322"/>
      <c r="AT45" s="322"/>
      <c r="AU45" s="322"/>
    </row>
    <row r="46" spans="2:47" ht="15" customHeight="1" outlineLevel="1" x14ac:dyDescent="0.25">
      <c r="B46" s="52" t="s">
        <v>291</v>
      </c>
      <c r="C46" s="64" t="s">
        <v>22</v>
      </c>
      <c r="D46" s="89"/>
      <c r="E46" s="89"/>
      <c r="F46" s="89"/>
      <c r="G46" s="89"/>
      <c r="H46" s="89"/>
      <c r="I46" s="89"/>
      <c r="J46" s="89">
        <v>2200</v>
      </c>
      <c r="K46" s="89">
        <v>2200</v>
      </c>
      <c r="L46" s="89">
        <v>2200</v>
      </c>
      <c r="M46" s="89">
        <v>2200</v>
      </c>
      <c r="N46" s="89">
        <v>2200</v>
      </c>
      <c r="O46" s="40"/>
      <c r="P46" s="327"/>
      <c r="Q46" s="327"/>
      <c r="R46" s="327"/>
      <c r="S46" s="327"/>
      <c r="T46" s="327"/>
      <c r="U46" s="327"/>
      <c r="V46" s="327"/>
      <c r="W46" s="327"/>
      <c r="X46" s="327"/>
      <c r="AJ46" s="322"/>
      <c r="AK46" s="322"/>
      <c r="AL46" s="322"/>
      <c r="AM46" s="322"/>
      <c r="AN46" s="322"/>
      <c r="AO46" s="322"/>
      <c r="AP46" s="322"/>
      <c r="AQ46" s="322"/>
      <c r="AR46" s="322"/>
      <c r="AS46" s="322"/>
      <c r="AT46" s="322"/>
      <c r="AU46" s="322"/>
    </row>
    <row r="47" spans="2:47" ht="15" customHeight="1" outlineLevel="1" x14ac:dyDescent="0.25">
      <c r="B47" s="52" t="s">
        <v>307</v>
      </c>
      <c r="C47" s="64"/>
      <c r="D47" s="89"/>
      <c r="E47" s="89"/>
      <c r="F47" s="89"/>
      <c r="G47" s="89"/>
      <c r="H47" s="89"/>
      <c r="I47" s="89"/>
      <c r="J47" s="89">
        <v>3000</v>
      </c>
      <c r="K47" s="89">
        <v>3300</v>
      </c>
      <c r="L47" s="89">
        <v>3500</v>
      </c>
      <c r="M47" s="89">
        <v>4000</v>
      </c>
      <c r="N47" s="89">
        <v>4300</v>
      </c>
      <c r="O47" s="40"/>
      <c r="P47" s="327"/>
      <c r="Q47" s="327"/>
      <c r="R47" s="327"/>
      <c r="S47" s="327"/>
      <c r="T47" s="327"/>
      <c r="U47" s="327"/>
      <c r="V47" s="327"/>
      <c r="W47" s="327"/>
      <c r="X47" s="327"/>
      <c r="AJ47" s="322"/>
      <c r="AK47" s="322"/>
      <c r="AL47" s="322"/>
      <c r="AM47" s="322"/>
      <c r="AN47" s="322"/>
      <c r="AO47" s="322"/>
      <c r="AP47" s="322"/>
      <c r="AQ47" s="322"/>
      <c r="AR47" s="322"/>
      <c r="AS47" s="322"/>
      <c r="AT47" s="322"/>
      <c r="AU47" s="322"/>
    </row>
    <row r="48" spans="2:47" ht="15" customHeight="1" outlineLevel="1" x14ac:dyDescent="0.25">
      <c r="B48" s="52" t="s">
        <v>304</v>
      </c>
      <c r="C48" s="64"/>
      <c r="D48" s="89"/>
      <c r="E48" s="89"/>
      <c r="F48" s="89"/>
      <c r="G48" s="89"/>
      <c r="H48" s="89"/>
      <c r="I48" s="89"/>
      <c r="J48" s="89">
        <v>3000</v>
      </c>
      <c r="K48" s="89">
        <v>3300</v>
      </c>
      <c r="L48" s="89">
        <v>3500</v>
      </c>
      <c r="M48" s="89">
        <v>4000</v>
      </c>
      <c r="N48" s="89">
        <v>4300</v>
      </c>
      <c r="O48" s="40"/>
      <c r="P48" s="327"/>
      <c r="Q48" s="327"/>
      <c r="R48" s="327"/>
      <c r="S48" s="327"/>
      <c r="T48" s="327"/>
      <c r="U48" s="327"/>
      <c r="V48" s="327"/>
      <c r="W48" s="327"/>
      <c r="X48" s="327"/>
      <c r="AJ48" s="322"/>
      <c r="AK48" s="322"/>
      <c r="AL48" s="322"/>
      <c r="AM48" s="322"/>
      <c r="AN48" s="322"/>
      <c r="AO48" s="322"/>
      <c r="AP48" s="322"/>
      <c r="AQ48" s="322"/>
      <c r="AR48" s="322"/>
      <c r="AS48" s="322"/>
      <c r="AT48" s="322"/>
      <c r="AU48" s="322"/>
    </row>
    <row r="49" spans="2:50" ht="15" customHeight="1" outlineLevel="1" x14ac:dyDescent="0.25">
      <c r="B49" s="52" t="s">
        <v>305</v>
      </c>
      <c r="C49" s="64"/>
      <c r="D49" s="89"/>
      <c r="E49" s="89"/>
      <c r="F49" s="89"/>
      <c r="G49" s="89"/>
      <c r="H49" s="89"/>
      <c r="I49" s="89"/>
      <c r="J49" s="89">
        <v>3000</v>
      </c>
      <c r="K49" s="89">
        <v>3300</v>
      </c>
      <c r="L49" s="89">
        <v>3500</v>
      </c>
      <c r="M49" s="89">
        <v>4000</v>
      </c>
      <c r="N49" s="89">
        <v>4300</v>
      </c>
      <c r="O49" s="40"/>
      <c r="P49" s="327"/>
      <c r="Q49" s="327"/>
      <c r="R49" s="327"/>
      <c r="S49" s="327"/>
      <c r="T49" s="327"/>
      <c r="U49" s="327"/>
      <c r="V49" s="327"/>
      <c r="W49" s="327"/>
      <c r="X49" s="327"/>
      <c r="AJ49" s="322"/>
      <c r="AK49" s="322"/>
      <c r="AL49" s="322"/>
      <c r="AM49" s="322"/>
      <c r="AN49" s="322"/>
      <c r="AO49" s="322"/>
      <c r="AP49" s="322"/>
      <c r="AQ49" s="322"/>
      <c r="AR49" s="322"/>
      <c r="AS49" s="322"/>
      <c r="AT49" s="322"/>
      <c r="AU49" s="322"/>
    </row>
    <row r="50" spans="2:50" ht="15" customHeight="1" outlineLevel="1" x14ac:dyDescent="0.25">
      <c r="B50" s="52" t="s">
        <v>306</v>
      </c>
      <c r="C50" s="64"/>
      <c r="D50" s="89"/>
      <c r="E50" s="89"/>
      <c r="F50" s="89"/>
      <c r="G50" s="89"/>
      <c r="H50" s="89"/>
      <c r="I50" s="89"/>
      <c r="J50" s="89">
        <v>3000</v>
      </c>
      <c r="K50" s="89">
        <v>3300</v>
      </c>
      <c r="L50" s="89">
        <v>3500</v>
      </c>
      <c r="M50" s="89">
        <v>4000</v>
      </c>
      <c r="N50" s="89">
        <v>4300</v>
      </c>
      <c r="O50" s="40"/>
      <c r="P50" s="327"/>
      <c r="Q50" s="327"/>
      <c r="R50" s="327"/>
      <c r="S50" s="327"/>
      <c r="T50" s="327"/>
      <c r="U50" s="327"/>
      <c r="V50" s="327"/>
      <c r="W50" s="327"/>
      <c r="X50" s="327"/>
      <c r="AJ50" s="322"/>
      <c r="AK50" s="322"/>
      <c r="AL50" s="322"/>
      <c r="AM50" s="322"/>
      <c r="AN50" s="322"/>
      <c r="AO50" s="322"/>
      <c r="AP50" s="322"/>
      <c r="AQ50" s="322"/>
      <c r="AR50" s="322"/>
      <c r="AS50" s="322"/>
      <c r="AT50" s="322"/>
      <c r="AU50" s="322"/>
    </row>
    <row r="51" spans="2:50" ht="15" customHeight="1" outlineLevel="1" x14ac:dyDescent="0.25">
      <c r="B51" s="52" t="s">
        <v>308</v>
      </c>
      <c r="C51" s="64"/>
      <c r="D51" s="89"/>
      <c r="E51" s="89"/>
      <c r="F51" s="89"/>
      <c r="G51" s="89"/>
      <c r="H51" s="89"/>
      <c r="I51" s="89"/>
      <c r="J51" s="89">
        <v>3000</v>
      </c>
      <c r="K51" s="89">
        <v>3300</v>
      </c>
      <c r="L51" s="89">
        <v>3500</v>
      </c>
      <c r="M51" s="89">
        <v>4000</v>
      </c>
      <c r="N51" s="89">
        <v>4300</v>
      </c>
      <c r="O51" s="40"/>
      <c r="P51" s="327"/>
      <c r="Q51" s="327"/>
      <c r="R51" s="327"/>
      <c r="S51" s="327"/>
      <c r="T51" s="327"/>
      <c r="U51" s="327"/>
      <c r="V51" s="327"/>
      <c r="W51" s="327"/>
      <c r="X51" s="327"/>
      <c r="AJ51" s="322"/>
      <c r="AK51" s="322"/>
      <c r="AL51" s="322"/>
      <c r="AM51" s="322"/>
      <c r="AN51" s="322"/>
      <c r="AO51" s="322"/>
      <c r="AP51" s="322"/>
      <c r="AQ51" s="322"/>
      <c r="AR51" s="322"/>
      <c r="AS51" s="322"/>
      <c r="AT51" s="322"/>
      <c r="AU51" s="322"/>
    </row>
    <row r="52" spans="2:50" ht="15" customHeight="1" outlineLevel="1" x14ac:dyDescent="0.25">
      <c r="B52" s="52"/>
      <c r="C52" s="64"/>
      <c r="D52" s="89"/>
      <c r="E52" s="89"/>
      <c r="F52" s="89"/>
      <c r="G52" s="89"/>
      <c r="H52" s="89"/>
      <c r="I52" s="89"/>
      <c r="J52" s="89"/>
      <c r="K52" s="89"/>
      <c r="L52" s="89"/>
      <c r="M52" s="89"/>
      <c r="N52" s="89"/>
      <c r="O52" s="40"/>
      <c r="P52" s="327"/>
      <c r="Q52" s="327"/>
      <c r="R52" s="327"/>
      <c r="S52" s="327"/>
      <c r="T52" s="327"/>
      <c r="U52" s="327"/>
      <c r="V52" s="327"/>
      <c r="W52" s="327"/>
      <c r="X52" s="327"/>
      <c r="AJ52" s="322"/>
      <c r="AK52" s="322"/>
      <c r="AL52" s="322"/>
      <c r="AM52" s="322"/>
      <c r="AN52" s="322"/>
      <c r="AO52" s="322"/>
      <c r="AP52" s="322"/>
      <c r="AQ52" s="322"/>
      <c r="AR52" s="322"/>
      <c r="AS52" s="322"/>
      <c r="AT52" s="322"/>
      <c r="AU52" s="322"/>
    </row>
    <row r="53" spans="2:50" ht="15" customHeight="1" outlineLevel="1" x14ac:dyDescent="0.25">
      <c r="B53" s="349" t="s">
        <v>90</v>
      </c>
      <c r="C53" s="350"/>
      <c r="D53" s="350"/>
      <c r="E53" s="350"/>
      <c r="F53" s="350"/>
      <c r="G53" s="350"/>
      <c r="H53" s="350"/>
      <c r="I53" s="350"/>
      <c r="J53" s="350"/>
      <c r="K53" s="350"/>
      <c r="L53" s="350"/>
      <c r="M53" s="350"/>
      <c r="N53" s="350"/>
      <c r="O53" s="40"/>
      <c r="P53" s="327"/>
      <c r="Q53" s="327"/>
      <c r="R53" s="327"/>
      <c r="S53" s="327"/>
      <c r="T53" s="327"/>
      <c r="U53" s="327"/>
      <c r="V53" s="327"/>
      <c r="W53" s="327"/>
      <c r="X53" s="327"/>
      <c r="AJ53" s="322"/>
      <c r="AK53" s="322"/>
      <c r="AL53" s="322"/>
      <c r="AM53" s="322"/>
      <c r="AN53" s="322"/>
      <c r="AO53" s="322"/>
      <c r="AP53" s="322"/>
      <c r="AQ53" s="322"/>
      <c r="AR53" s="322"/>
      <c r="AS53" s="322"/>
      <c r="AT53" s="322"/>
      <c r="AU53" s="322"/>
    </row>
    <row r="54" spans="2:50" ht="15" customHeight="1" outlineLevel="1" x14ac:dyDescent="0.25">
      <c r="B54" s="50" t="s">
        <v>84</v>
      </c>
      <c r="C54" s="66" t="s">
        <v>22</v>
      </c>
      <c r="D54" s="188">
        <f t="shared" ref="D54:N54" si="44">SUM(D38:D52)</f>
        <v>0</v>
      </c>
      <c r="E54" s="234">
        <f t="shared" si="44"/>
        <v>0</v>
      </c>
      <c r="F54" s="234">
        <f t="shared" si="44"/>
        <v>0</v>
      </c>
      <c r="G54" s="234">
        <f t="shared" si="44"/>
        <v>0</v>
      </c>
      <c r="H54" s="234">
        <f t="shared" si="44"/>
        <v>0</v>
      </c>
      <c r="I54" s="234">
        <f t="shared" si="44"/>
        <v>0</v>
      </c>
      <c r="J54" s="234">
        <f t="shared" si="44"/>
        <v>65123.199999999997</v>
      </c>
      <c r="K54" s="234">
        <f t="shared" si="44"/>
        <v>71415.520000000004</v>
      </c>
      <c r="L54" s="234">
        <f t="shared" si="44"/>
        <v>77687.072000000015</v>
      </c>
      <c r="M54" s="234">
        <f t="shared" si="44"/>
        <v>85985.779200000019</v>
      </c>
      <c r="N54" s="234">
        <f t="shared" si="44"/>
        <v>93864.357120000015</v>
      </c>
      <c r="O54" s="40"/>
      <c r="P54" s="327"/>
      <c r="Q54" s="327"/>
      <c r="R54" s="327"/>
      <c r="S54" s="327"/>
      <c r="T54" s="327"/>
      <c r="U54" s="327"/>
      <c r="V54" s="327"/>
      <c r="W54" s="327"/>
      <c r="X54" s="327"/>
      <c r="AJ54" s="322"/>
      <c r="AK54" s="322"/>
      <c r="AL54" s="322"/>
      <c r="AM54" s="322"/>
      <c r="AN54" s="322"/>
      <c r="AO54" s="322"/>
      <c r="AP54" s="322"/>
      <c r="AQ54" s="322"/>
      <c r="AR54" s="322"/>
      <c r="AS54" s="322"/>
      <c r="AT54" s="322"/>
      <c r="AU54" s="322"/>
    </row>
    <row r="55" spans="2:50" x14ac:dyDescent="0.25">
      <c r="X55" s="327"/>
      <c r="AJ55" s="322"/>
      <c r="AK55" s="322"/>
      <c r="AL55" s="322"/>
      <c r="AM55" s="322"/>
      <c r="AN55" s="322"/>
      <c r="AO55" s="322"/>
      <c r="AP55" s="322"/>
      <c r="AQ55" s="322"/>
      <c r="AR55" s="322"/>
      <c r="AS55" s="322"/>
      <c r="AT55" s="322"/>
      <c r="AU55" s="322"/>
    </row>
    <row r="56" spans="2:50" ht="15.75" x14ac:dyDescent="0.25">
      <c r="B56" s="352" t="s">
        <v>28</v>
      </c>
      <c r="C56" s="352"/>
      <c r="D56" s="352"/>
      <c r="E56" s="352"/>
      <c r="F56" s="352"/>
      <c r="G56" s="352"/>
      <c r="H56" s="352"/>
      <c r="I56" s="352"/>
      <c r="J56" s="352"/>
      <c r="K56" s="352"/>
      <c r="L56" s="352"/>
      <c r="M56" s="352"/>
      <c r="N56" s="352"/>
      <c r="X56" s="327"/>
    </row>
    <row r="57" spans="2:50" ht="15" customHeight="1" outlineLevel="1" x14ac:dyDescent="0.25">
      <c r="B57" s="115"/>
      <c r="C57" s="115"/>
      <c r="D57" s="115"/>
      <c r="E57" s="115"/>
      <c r="F57" s="115"/>
      <c r="G57" s="115"/>
      <c r="H57" s="115"/>
      <c r="I57" s="115"/>
      <c r="J57" s="115"/>
      <c r="K57" s="115"/>
      <c r="L57" s="115"/>
      <c r="M57" s="115"/>
      <c r="N57" s="115"/>
      <c r="X57" s="327"/>
      <c r="Y57" s="326"/>
      <c r="Z57" s="115"/>
      <c r="AA57" s="115"/>
      <c r="AJ57" s="324"/>
      <c r="AK57" s="324"/>
      <c r="AL57" s="324"/>
      <c r="AM57" s="324"/>
      <c r="AN57" s="324"/>
      <c r="AO57" s="324"/>
      <c r="AP57" s="324"/>
      <c r="AQ57" s="324"/>
      <c r="AR57" s="324"/>
      <c r="AS57" s="279"/>
      <c r="AT57" s="279"/>
      <c r="AU57" s="279"/>
    </row>
    <row r="58" spans="2:50" outlineLevel="1" x14ac:dyDescent="0.25">
      <c r="B58" s="400"/>
      <c r="C58" s="385" t="s">
        <v>20</v>
      </c>
      <c r="D58" s="372" t="s">
        <v>262</v>
      </c>
      <c r="E58" s="373"/>
      <c r="F58" s="373"/>
      <c r="G58" s="373"/>
      <c r="H58" s="374"/>
      <c r="I58" s="277" t="s">
        <v>260</v>
      </c>
      <c r="J58" s="372" t="s">
        <v>261</v>
      </c>
      <c r="K58" s="373"/>
      <c r="L58" s="373"/>
      <c r="M58" s="373"/>
      <c r="N58" s="373"/>
      <c r="X58" s="327"/>
      <c r="Y58" s="327"/>
    </row>
    <row r="59" spans="2:50" outlineLevel="1" x14ac:dyDescent="0.25">
      <c r="B59" s="401"/>
      <c r="C59" s="386"/>
      <c r="D59" s="88">
        <f>$C$3-5</f>
        <v>2018</v>
      </c>
      <c r="E59" s="88">
        <f>$C$3-4</f>
        <v>2019</v>
      </c>
      <c r="F59" s="88">
        <f>$C$3-3</f>
        <v>2020</v>
      </c>
      <c r="G59" s="88">
        <f>$C$3-2</f>
        <v>2021</v>
      </c>
      <c r="H59" s="88" t="str">
        <f>$C$3-1&amp;""&amp;" ("&amp;"Σεπτ"&amp;")"</f>
        <v>2022 (Σεπτ)</v>
      </c>
      <c r="I59" s="88">
        <f>$C$3-1</f>
        <v>2022</v>
      </c>
      <c r="J59" s="88">
        <f>$C$3</f>
        <v>2023</v>
      </c>
      <c r="K59" s="88">
        <f>$C$3+1</f>
        <v>2024</v>
      </c>
      <c r="L59" s="88">
        <f>$C$3+2</f>
        <v>2025</v>
      </c>
      <c r="M59" s="88">
        <f>$C$3+3</f>
        <v>2026</v>
      </c>
      <c r="N59" s="88">
        <f>$C$3+4</f>
        <v>2027</v>
      </c>
      <c r="X59" s="327"/>
      <c r="Y59" s="327"/>
      <c r="AE59" s="327"/>
      <c r="AF59" s="327"/>
      <c r="AG59" s="327"/>
      <c r="AH59" s="327"/>
      <c r="AI59" s="327"/>
      <c r="AJ59" s="327"/>
      <c r="AK59" s="327"/>
      <c r="AL59" s="327"/>
      <c r="AM59" s="327"/>
      <c r="AN59" s="327"/>
      <c r="AO59" s="327"/>
      <c r="AP59" s="327"/>
      <c r="AQ59" s="327"/>
      <c r="AR59" s="327"/>
      <c r="AS59" s="327"/>
      <c r="AT59" s="327"/>
      <c r="AU59" s="327"/>
      <c r="AV59" s="327"/>
      <c r="AW59" s="327"/>
      <c r="AX59" s="327"/>
    </row>
    <row r="60" spans="2:50" outlineLevel="1" x14ac:dyDescent="0.25">
      <c r="B60" s="281" t="s">
        <v>283</v>
      </c>
      <c r="C60" s="64" t="s">
        <v>21</v>
      </c>
      <c r="D60" s="89"/>
      <c r="E60" s="89"/>
      <c r="F60" s="89"/>
      <c r="G60" s="89"/>
      <c r="H60" s="89"/>
      <c r="I60" s="89"/>
      <c r="J60" s="89">
        <v>5600</v>
      </c>
      <c r="K60" s="89">
        <v>9250.8000000000011</v>
      </c>
      <c r="L60" s="89">
        <v>9926.8000000000011</v>
      </c>
      <c r="M60" s="89">
        <v>10426</v>
      </c>
      <c r="N60" s="89">
        <v>12000</v>
      </c>
      <c r="X60" s="327"/>
      <c r="Y60" s="327"/>
      <c r="AE60" s="327"/>
      <c r="AF60" s="327"/>
      <c r="AG60" s="327"/>
      <c r="AH60" s="327"/>
      <c r="AI60" s="327"/>
      <c r="AJ60" s="327"/>
      <c r="AK60" s="327"/>
      <c r="AL60" s="327"/>
      <c r="AM60" s="327"/>
      <c r="AN60" s="327"/>
      <c r="AO60" s="327"/>
      <c r="AP60" s="327"/>
      <c r="AQ60" s="327"/>
      <c r="AR60" s="327"/>
      <c r="AS60" s="327"/>
      <c r="AT60" s="327"/>
      <c r="AU60" s="327"/>
      <c r="AV60" s="327"/>
      <c r="AW60" s="327"/>
      <c r="AX60" s="327"/>
    </row>
    <row r="61" spans="2:50" outlineLevel="1" x14ac:dyDescent="0.25">
      <c r="B61" s="52" t="s">
        <v>284</v>
      </c>
      <c r="C61" s="64" t="s">
        <v>21</v>
      </c>
      <c r="D61" s="89"/>
      <c r="E61" s="89"/>
      <c r="F61" s="89"/>
      <c r="G61" s="89"/>
      <c r="H61" s="89"/>
      <c r="I61" s="89"/>
      <c r="J61" s="89">
        <v>11700</v>
      </c>
      <c r="K61" s="89">
        <v>23010</v>
      </c>
      <c r="L61" s="89">
        <v>23010</v>
      </c>
      <c r="M61" s="89">
        <v>23010</v>
      </c>
      <c r="N61" s="89">
        <v>23010</v>
      </c>
      <c r="X61" s="327"/>
      <c r="Y61" s="327"/>
      <c r="AE61" s="327"/>
      <c r="AF61" s="327"/>
      <c r="AG61" s="328"/>
      <c r="AH61" s="328"/>
      <c r="AI61" s="328"/>
      <c r="AJ61" s="327"/>
      <c r="AK61" s="328"/>
      <c r="AL61" s="328"/>
      <c r="AM61" s="328"/>
      <c r="AN61" s="327"/>
      <c r="AO61" s="328"/>
      <c r="AP61" s="328"/>
      <c r="AQ61" s="328"/>
      <c r="AR61" s="327"/>
      <c r="AS61" s="328"/>
      <c r="AT61" s="328"/>
      <c r="AU61" s="328"/>
      <c r="AV61" s="327"/>
      <c r="AW61" s="327"/>
      <c r="AX61" s="327"/>
    </row>
    <row r="62" spans="2:50" outlineLevel="1" x14ac:dyDescent="0.25">
      <c r="B62" s="52" t="s">
        <v>285</v>
      </c>
      <c r="C62" s="64" t="s">
        <v>21</v>
      </c>
      <c r="D62" s="89"/>
      <c r="E62" s="89"/>
      <c r="F62" s="89"/>
      <c r="G62" s="89"/>
      <c r="H62" s="89"/>
      <c r="I62" s="89"/>
      <c r="J62" s="89">
        <v>11700</v>
      </c>
      <c r="K62" s="89">
        <v>23010</v>
      </c>
      <c r="L62" s="89">
        <v>23010</v>
      </c>
      <c r="M62" s="89">
        <v>23010</v>
      </c>
      <c r="N62" s="89">
        <v>23010</v>
      </c>
      <c r="X62" s="327"/>
      <c r="Y62" s="327"/>
      <c r="AE62" s="327"/>
      <c r="AF62" s="327"/>
      <c r="AG62" s="328"/>
      <c r="AH62" s="328"/>
      <c r="AI62" s="328"/>
      <c r="AJ62" s="327"/>
      <c r="AK62" s="328"/>
      <c r="AL62" s="328"/>
      <c r="AM62" s="328"/>
      <c r="AN62" s="327"/>
      <c r="AO62" s="328"/>
      <c r="AP62" s="328"/>
      <c r="AQ62" s="328"/>
      <c r="AR62" s="327"/>
      <c r="AS62" s="328"/>
      <c r="AT62" s="328"/>
      <c r="AU62" s="328"/>
      <c r="AV62" s="327"/>
      <c r="AW62" s="327"/>
      <c r="AX62" s="327"/>
    </row>
    <row r="63" spans="2:50" outlineLevel="1" x14ac:dyDescent="0.25">
      <c r="B63" s="52" t="s">
        <v>286</v>
      </c>
      <c r="C63" s="65" t="s">
        <v>21</v>
      </c>
      <c r="D63" s="93"/>
      <c r="E63" s="93"/>
      <c r="F63" s="93"/>
      <c r="G63" s="93"/>
      <c r="H63" s="93"/>
      <c r="I63" s="93"/>
      <c r="J63" s="89">
        <v>51480</v>
      </c>
      <c r="K63" s="89">
        <v>89180</v>
      </c>
      <c r="L63" s="89">
        <v>89180</v>
      </c>
      <c r="M63" s="89">
        <v>89180</v>
      </c>
      <c r="N63" s="89">
        <v>89180</v>
      </c>
      <c r="X63" s="327"/>
      <c r="Y63" s="327"/>
      <c r="AE63" s="327"/>
      <c r="AF63" s="327"/>
      <c r="AG63" s="328"/>
      <c r="AH63" s="328"/>
      <c r="AI63" s="328"/>
      <c r="AJ63" s="327"/>
      <c r="AK63" s="328"/>
      <c r="AL63" s="328"/>
      <c r="AM63" s="328"/>
      <c r="AN63" s="327"/>
      <c r="AO63" s="328"/>
      <c r="AP63" s="328"/>
      <c r="AQ63" s="328"/>
      <c r="AR63" s="327"/>
      <c r="AS63" s="328"/>
      <c r="AT63" s="328"/>
      <c r="AU63" s="328"/>
      <c r="AV63" s="327"/>
      <c r="AW63" s="327"/>
      <c r="AX63" s="327"/>
    </row>
    <row r="64" spans="2:50" outlineLevel="1" x14ac:dyDescent="0.25">
      <c r="B64" s="52" t="s">
        <v>287</v>
      </c>
      <c r="C64" s="65" t="s">
        <v>21</v>
      </c>
      <c r="D64" s="93"/>
      <c r="E64" s="93"/>
      <c r="F64" s="93"/>
      <c r="G64" s="93"/>
      <c r="H64" s="93"/>
      <c r="I64" s="93"/>
      <c r="J64" s="89">
        <v>63960</v>
      </c>
      <c r="K64" s="89">
        <v>101660</v>
      </c>
      <c r="L64" s="89">
        <v>101660</v>
      </c>
      <c r="M64" s="89">
        <v>101660</v>
      </c>
      <c r="N64" s="89">
        <v>101660</v>
      </c>
      <c r="X64" s="327"/>
      <c r="Y64" s="327"/>
      <c r="AE64" s="327"/>
      <c r="AF64" s="327"/>
      <c r="AG64" s="328"/>
      <c r="AH64" s="328"/>
      <c r="AI64" s="328"/>
      <c r="AJ64" s="327"/>
      <c r="AK64" s="328"/>
      <c r="AL64" s="328"/>
      <c r="AM64" s="328"/>
      <c r="AN64" s="327"/>
      <c r="AO64" s="328"/>
      <c r="AP64" s="328"/>
      <c r="AQ64" s="328"/>
      <c r="AR64" s="327"/>
      <c r="AS64" s="328"/>
      <c r="AT64" s="328"/>
      <c r="AU64" s="328"/>
      <c r="AV64" s="327"/>
      <c r="AW64" s="327"/>
      <c r="AX64" s="327"/>
    </row>
    <row r="65" spans="2:50" outlineLevel="1" x14ac:dyDescent="0.25">
      <c r="B65" s="52" t="s">
        <v>288</v>
      </c>
      <c r="C65" s="65" t="s">
        <v>21</v>
      </c>
      <c r="D65" s="93"/>
      <c r="E65" s="93"/>
      <c r="F65" s="93"/>
      <c r="G65" s="93"/>
      <c r="H65" s="93"/>
      <c r="I65" s="93"/>
      <c r="J65" s="89">
        <v>25892.880000000005</v>
      </c>
      <c r="K65" s="89">
        <v>37956.879999999997</v>
      </c>
      <c r="L65" s="89">
        <v>37956.879999999997</v>
      </c>
      <c r="M65" s="89">
        <v>37956.879999999997</v>
      </c>
      <c r="N65" s="89">
        <v>37956.879999999997</v>
      </c>
      <c r="X65" s="327"/>
      <c r="Y65" s="327"/>
      <c r="AE65" s="327"/>
      <c r="AF65" s="327"/>
      <c r="AG65" s="328"/>
      <c r="AH65" s="328"/>
      <c r="AI65" s="328"/>
      <c r="AJ65" s="327"/>
      <c r="AK65" s="328"/>
      <c r="AL65" s="328"/>
      <c r="AM65" s="328"/>
      <c r="AN65" s="327"/>
      <c r="AO65" s="328"/>
      <c r="AP65" s="328"/>
      <c r="AQ65" s="328"/>
      <c r="AR65" s="327"/>
      <c r="AS65" s="328"/>
      <c r="AT65" s="328"/>
      <c r="AU65" s="328"/>
      <c r="AV65" s="327"/>
      <c r="AW65" s="327"/>
      <c r="AX65" s="327"/>
    </row>
    <row r="66" spans="2:50" outlineLevel="1" x14ac:dyDescent="0.25">
      <c r="B66" s="52" t="s">
        <v>289</v>
      </c>
      <c r="C66" s="65" t="s">
        <v>21</v>
      </c>
      <c r="D66" s="93"/>
      <c r="E66" s="93"/>
      <c r="F66" s="93"/>
      <c r="G66" s="93"/>
      <c r="H66" s="93"/>
      <c r="I66" s="93"/>
      <c r="J66" s="89">
        <v>54756</v>
      </c>
      <c r="K66" s="89">
        <v>92456</v>
      </c>
      <c r="L66" s="89">
        <v>92456</v>
      </c>
      <c r="M66" s="89">
        <v>92456</v>
      </c>
      <c r="N66" s="89">
        <v>92456</v>
      </c>
      <c r="X66" s="327"/>
      <c r="Y66" s="327"/>
      <c r="AE66" s="327"/>
      <c r="AF66" s="327"/>
      <c r="AG66" s="328"/>
      <c r="AH66" s="328"/>
      <c r="AI66" s="328"/>
      <c r="AJ66" s="327"/>
      <c r="AK66" s="328"/>
      <c r="AL66" s="328"/>
      <c r="AM66" s="328"/>
      <c r="AN66" s="327"/>
      <c r="AO66" s="328"/>
      <c r="AP66" s="328"/>
      <c r="AQ66" s="328"/>
      <c r="AR66" s="327"/>
      <c r="AS66" s="328"/>
      <c r="AT66" s="328"/>
      <c r="AU66" s="328"/>
      <c r="AV66" s="327"/>
      <c r="AW66" s="327"/>
      <c r="AX66" s="327"/>
    </row>
    <row r="67" spans="2:50" outlineLevel="1" x14ac:dyDescent="0.25">
      <c r="B67" s="52" t="s">
        <v>290</v>
      </c>
      <c r="C67" s="65" t="s">
        <v>21</v>
      </c>
      <c r="D67" s="93"/>
      <c r="E67" s="93"/>
      <c r="F67" s="93"/>
      <c r="G67" s="93"/>
      <c r="H67" s="93"/>
      <c r="I67" s="93"/>
      <c r="J67" s="89">
        <v>48360</v>
      </c>
      <c r="K67" s="89">
        <v>86060</v>
      </c>
      <c r="L67" s="89">
        <v>86060</v>
      </c>
      <c r="M67" s="89">
        <v>86060</v>
      </c>
      <c r="N67" s="89">
        <v>86060</v>
      </c>
      <c r="X67" s="327"/>
      <c r="Y67" s="327"/>
      <c r="AE67" s="327"/>
      <c r="AF67" s="327"/>
      <c r="AG67" s="328"/>
      <c r="AH67" s="328"/>
      <c r="AI67" s="328"/>
      <c r="AJ67" s="327"/>
      <c r="AK67" s="328"/>
      <c r="AL67" s="328"/>
      <c r="AM67" s="328"/>
      <c r="AN67" s="327"/>
      <c r="AO67" s="328"/>
      <c r="AP67" s="328"/>
      <c r="AQ67" s="328"/>
      <c r="AR67" s="327"/>
      <c r="AS67" s="328"/>
      <c r="AT67" s="328"/>
      <c r="AU67" s="328"/>
      <c r="AV67" s="327"/>
      <c r="AW67" s="327"/>
      <c r="AX67" s="327"/>
    </row>
    <row r="68" spans="2:50" outlineLevel="1" x14ac:dyDescent="0.25">
      <c r="B68" s="52" t="s">
        <v>291</v>
      </c>
      <c r="C68" s="65" t="s">
        <v>21</v>
      </c>
      <c r="D68" s="93"/>
      <c r="E68" s="93"/>
      <c r="F68" s="93"/>
      <c r="G68" s="93"/>
      <c r="H68" s="93"/>
      <c r="I68" s="93"/>
      <c r="J68" s="89">
        <v>40450.800000000003</v>
      </c>
      <c r="K68" s="89">
        <v>40450.800000000003</v>
      </c>
      <c r="L68" s="89">
        <v>40450.800000000003</v>
      </c>
      <c r="M68" s="89">
        <v>40450.800000000003</v>
      </c>
      <c r="N68" s="89">
        <v>40450.800000000003</v>
      </c>
      <c r="X68" s="327"/>
      <c r="Y68" s="327"/>
      <c r="AE68" s="327"/>
      <c r="AF68" s="327"/>
      <c r="AG68" s="328"/>
      <c r="AH68" s="328"/>
      <c r="AI68" s="328"/>
      <c r="AJ68" s="327"/>
      <c r="AK68" s="328"/>
      <c r="AL68" s="328"/>
      <c r="AM68" s="328"/>
      <c r="AN68" s="327"/>
      <c r="AO68" s="328"/>
      <c r="AP68" s="328"/>
      <c r="AQ68" s="328"/>
      <c r="AR68" s="327"/>
      <c r="AS68" s="328"/>
      <c r="AT68" s="328"/>
      <c r="AU68" s="328"/>
      <c r="AV68" s="327"/>
      <c r="AW68" s="327"/>
      <c r="AX68" s="327"/>
    </row>
    <row r="69" spans="2:50" outlineLevel="1" x14ac:dyDescent="0.25">
      <c r="B69" s="52" t="s">
        <v>307</v>
      </c>
      <c r="C69" s="65"/>
      <c r="D69" s="93"/>
      <c r="E69" s="93"/>
      <c r="F69" s="93"/>
      <c r="G69" s="93"/>
      <c r="H69" s="93"/>
      <c r="I69" s="93"/>
      <c r="J69" s="89">
        <v>12000</v>
      </c>
      <c r="K69" s="89">
        <v>24000</v>
      </c>
      <c r="L69" s="89">
        <v>24000</v>
      </c>
      <c r="M69" s="89">
        <v>24000</v>
      </c>
      <c r="N69" s="89">
        <v>24000</v>
      </c>
      <c r="X69" s="327"/>
      <c r="Y69" s="327"/>
      <c r="AE69" s="327"/>
      <c r="AF69" s="327"/>
      <c r="AG69" s="328"/>
      <c r="AH69" s="328"/>
      <c r="AI69" s="328"/>
      <c r="AJ69" s="327"/>
      <c r="AK69" s="328"/>
      <c r="AL69" s="328"/>
      <c r="AM69" s="328"/>
      <c r="AN69" s="327"/>
      <c r="AO69" s="328"/>
      <c r="AP69" s="328"/>
      <c r="AQ69" s="328"/>
      <c r="AR69" s="327"/>
      <c r="AS69" s="328"/>
      <c r="AT69" s="328"/>
      <c r="AU69" s="328"/>
      <c r="AV69" s="327"/>
      <c r="AW69" s="327"/>
      <c r="AX69" s="327"/>
    </row>
    <row r="70" spans="2:50" outlineLevel="1" x14ac:dyDescent="0.25">
      <c r="B70" s="52" t="s">
        <v>304</v>
      </c>
      <c r="C70" s="65"/>
      <c r="D70" s="93"/>
      <c r="E70" s="93"/>
      <c r="F70" s="93"/>
      <c r="G70" s="93"/>
      <c r="H70" s="93"/>
      <c r="I70" s="93"/>
      <c r="J70" s="89">
        <v>12000</v>
      </c>
      <c r="K70" s="89">
        <v>24000</v>
      </c>
      <c r="L70" s="89">
        <v>24000</v>
      </c>
      <c r="M70" s="89">
        <v>24000</v>
      </c>
      <c r="N70" s="89">
        <v>24000</v>
      </c>
      <c r="X70" s="327"/>
      <c r="Y70" s="327"/>
      <c r="AE70" s="327"/>
      <c r="AF70" s="327"/>
      <c r="AG70" s="328"/>
      <c r="AH70" s="328"/>
      <c r="AI70" s="328"/>
      <c r="AJ70" s="327"/>
      <c r="AK70" s="328"/>
      <c r="AL70" s="328"/>
      <c r="AM70" s="328"/>
      <c r="AN70" s="327"/>
      <c r="AO70" s="328"/>
      <c r="AP70" s="328"/>
      <c r="AQ70" s="328"/>
      <c r="AR70" s="327"/>
      <c r="AS70" s="328"/>
      <c r="AT70" s="328"/>
      <c r="AU70" s="328"/>
      <c r="AV70" s="327"/>
      <c r="AW70" s="327"/>
      <c r="AX70" s="327"/>
    </row>
    <row r="71" spans="2:50" outlineLevel="1" x14ac:dyDescent="0.25">
      <c r="B71" s="52" t="s">
        <v>305</v>
      </c>
      <c r="C71" s="65"/>
      <c r="D71" s="93"/>
      <c r="E71" s="93"/>
      <c r="F71" s="93"/>
      <c r="G71" s="93"/>
      <c r="H71" s="93"/>
      <c r="I71" s="93"/>
      <c r="J71" s="89">
        <v>12000</v>
      </c>
      <c r="K71" s="89">
        <v>24000</v>
      </c>
      <c r="L71" s="89">
        <v>24000</v>
      </c>
      <c r="M71" s="89">
        <v>24000</v>
      </c>
      <c r="N71" s="89">
        <v>24000</v>
      </c>
      <c r="X71" s="327"/>
      <c r="Y71" s="327"/>
      <c r="AE71" s="327"/>
      <c r="AF71" s="327"/>
      <c r="AG71" s="328"/>
      <c r="AH71" s="328"/>
      <c r="AI71" s="328"/>
      <c r="AJ71" s="327"/>
      <c r="AK71" s="328"/>
      <c r="AL71" s="328"/>
      <c r="AM71" s="328"/>
      <c r="AN71" s="327"/>
      <c r="AO71" s="328"/>
      <c r="AP71" s="328"/>
      <c r="AQ71" s="328"/>
      <c r="AR71" s="327"/>
      <c r="AS71" s="328"/>
      <c r="AT71" s="328"/>
      <c r="AU71" s="328"/>
      <c r="AV71" s="327"/>
      <c r="AW71" s="327"/>
      <c r="AX71" s="327"/>
    </row>
    <row r="72" spans="2:50" outlineLevel="1" x14ac:dyDescent="0.25">
      <c r="B72" s="52" t="s">
        <v>306</v>
      </c>
      <c r="C72" s="65"/>
      <c r="D72" s="93"/>
      <c r="E72" s="93"/>
      <c r="F72" s="93"/>
      <c r="G72" s="93"/>
      <c r="H72" s="93"/>
      <c r="I72" s="93"/>
      <c r="J72" s="89">
        <v>15000</v>
      </c>
      <c r="K72" s="89">
        <v>32000</v>
      </c>
      <c r="L72" s="89">
        <v>32000</v>
      </c>
      <c r="M72" s="89">
        <v>32000</v>
      </c>
      <c r="N72" s="89">
        <v>32000</v>
      </c>
      <c r="X72" s="327"/>
      <c r="Y72" s="327"/>
      <c r="AE72" s="327"/>
      <c r="AF72" s="327"/>
      <c r="AG72" s="328"/>
      <c r="AH72" s="328"/>
      <c r="AI72" s="328"/>
      <c r="AJ72" s="327"/>
      <c r="AK72" s="328"/>
      <c r="AL72" s="328"/>
      <c r="AM72" s="328"/>
      <c r="AN72" s="327"/>
      <c r="AO72" s="328"/>
      <c r="AP72" s="328"/>
      <c r="AQ72" s="328"/>
      <c r="AR72" s="327"/>
      <c r="AS72" s="328"/>
      <c r="AT72" s="328"/>
      <c r="AU72" s="328"/>
      <c r="AV72" s="327"/>
      <c r="AW72" s="327"/>
      <c r="AX72" s="327"/>
    </row>
    <row r="73" spans="2:50" outlineLevel="1" x14ac:dyDescent="0.25">
      <c r="B73" s="52" t="s">
        <v>308</v>
      </c>
      <c r="C73" s="65"/>
      <c r="D73" s="93"/>
      <c r="E73" s="93"/>
      <c r="F73" s="93"/>
      <c r="G73" s="93"/>
      <c r="H73" s="93"/>
      <c r="I73" s="93"/>
      <c r="J73" s="89">
        <v>15000</v>
      </c>
      <c r="K73" s="89">
        <v>32000</v>
      </c>
      <c r="L73" s="89">
        <v>32000</v>
      </c>
      <c r="M73" s="89">
        <v>32000</v>
      </c>
      <c r="N73" s="89">
        <v>32000</v>
      </c>
      <c r="X73" s="327"/>
      <c r="Y73" s="327"/>
      <c r="AE73" s="327"/>
      <c r="AF73" s="327"/>
      <c r="AG73" s="328"/>
      <c r="AH73" s="328"/>
      <c r="AI73" s="328"/>
      <c r="AJ73" s="327"/>
      <c r="AK73" s="328"/>
      <c r="AL73" s="328"/>
      <c r="AM73" s="328"/>
      <c r="AN73" s="327"/>
      <c r="AO73" s="328"/>
      <c r="AP73" s="328"/>
      <c r="AQ73" s="328"/>
      <c r="AR73" s="327"/>
      <c r="AS73" s="328"/>
      <c r="AT73" s="328"/>
      <c r="AU73" s="328"/>
      <c r="AV73" s="327"/>
      <c r="AW73" s="327"/>
      <c r="AX73" s="327"/>
    </row>
    <row r="74" spans="2:50" outlineLevel="1" x14ac:dyDescent="0.25">
      <c r="B74" s="52"/>
      <c r="C74" s="65"/>
      <c r="D74" s="93"/>
      <c r="E74" s="93"/>
      <c r="F74" s="93"/>
      <c r="G74" s="93"/>
      <c r="H74" s="93"/>
      <c r="I74" s="93"/>
      <c r="J74" s="89"/>
      <c r="K74" s="89"/>
      <c r="L74" s="89"/>
      <c r="M74" s="89"/>
      <c r="N74" s="89"/>
      <c r="X74" s="327"/>
      <c r="Y74" s="327"/>
      <c r="AE74" s="327"/>
      <c r="AF74" s="327"/>
      <c r="AG74" s="328"/>
      <c r="AH74" s="328"/>
      <c r="AI74" s="328"/>
      <c r="AJ74" s="327"/>
      <c r="AK74" s="328"/>
      <c r="AL74" s="328"/>
      <c r="AM74" s="328"/>
      <c r="AN74" s="327"/>
      <c r="AO74" s="328"/>
      <c r="AP74" s="328"/>
      <c r="AQ74" s="328"/>
      <c r="AR74" s="327"/>
      <c r="AS74" s="328"/>
      <c r="AT74" s="328"/>
      <c r="AU74" s="328"/>
      <c r="AV74" s="327"/>
      <c r="AW74" s="327"/>
      <c r="AX74" s="327"/>
    </row>
    <row r="75" spans="2:50" ht="15" customHeight="1" outlineLevel="1" x14ac:dyDescent="0.25">
      <c r="B75" s="349" t="s">
        <v>90</v>
      </c>
      <c r="C75" s="350"/>
      <c r="D75" s="350"/>
      <c r="E75" s="350"/>
      <c r="F75" s="350"/>
      <c r="G75" s="350"/>
      <c r="H75" s="350"/>
      <c r="I75" s="350"/>
      <c r="J75" s="350"/>
      <c r="K75" s="350"/>
      <c r="L75" s="350"/>
      <c r="M75" s="350"/>
      <c r="N75" s="350"/>
      <c r="X75" s="327"/>
      <c r="Y75" s="327"/>
      <c r="AE75" s="327"/>
      <c r="AF75" s="327"/>
      <c r="AG75" s="328"/>
      <c r="AH75" s="328"/>
      <c r="AI75" s="328"/>
      <c r="AJ75" s="327"/>
      <c r="AK75" s="328"/>
      <c r="AL75" s="328"/>
      <c r="AM75" s="328"/>
      <c r="AN75" s="327"/>
      <c r="AO75" s="328"/>
      <c r="AP75" s="328"/>
      <c r="AQ75" s="328"/>
      <c r="AR75" s="327"/>
      <c r="AS75" s="328"/>
      <c r="AT75" s="328"/>
      <c r="AU75" s="328"/>
      <c r="AV75" s="327"/>
      <c r="AW75" s="327"/>
      <c r="AX75" s="327"/>
    </row>
    <row r="76" spans="2:50" outlineLevel="1" x14ac:dyDescent="0.25">
      <c r="B76" s="50" t="s">
        <v>84</v>
      </c>
      <c r="C76" s="66" t="s">
        <v>21</v>
      </c>
      <c r="D76" s="188">
        <f t="shared" ref="D76:N76" si="45">SUM(D60:D74)</f>
        <v>0</v>
      </c>
      <c r="E76" s="234">
        <f t="shared" si="45"/>
        <v>0</v>
      </c>
      <c r="F76" s="234">
        <f t="shared" si="45"/>
        <v>0</v>
      </c>
      <c r="G76" s="234">
        <f t="shared" si="45"/>
        <v>0</v>
      </c>
      <c r="H76" s="234">
        <f t="shared" si="45"/>
        <v>0</v>
      </c>
      <c r="I76" s="234">
        <f t="shared" si="45"/>
        <v>0</v>
      </c>
      <c r="J76" s="234">
        <f t="shared" si="45"/>
        <v>379899.68</v>
      </c>
      <c r="K76" s="234">
        <f t="shared" si="45"/>
        <v>639034.48</v>
      </c>
      <c r="L76" s="234">
        <f t="shared" si="45"/>
        <v>639710.48</v>
      </c>
      <c r="M76" s="234">
        <f t="shared" si="45"/>
        <v>640209.67999999993</v>
      </c>
      <c r="N76" s="234">
        <f t="shared" si="45"/>
        <v>641783.67999999993</v>
      </c>
      <c r="X76" s="327"/>
      <c r="Y76" s="327"/>
      <c r="AE76" s="327"/>
      <c r="AF76" s="327"/>
      <c r="AG76" s="327"/>
      <c r="AH76" s="327"/>
      <c r="AI76" s="327"/>
      <c r="AJ76" s="327"/>
      <c r="AK76" s="327"/>
      <c r="AL76" s="327"/>
      <c r="AM76" s="327"/>
      <c r="AN76" s="327"/>
      <c r="AO76" s="327"/>
      <c r="AP76" s="327"/>
      <c r="AQ76" s="327"/>
      <c r="AR76" s="327"/>
      <c r="AS76" s="327"/>
      <c r="AT76" s="327"/>
      <c r="AU76" s="327"/>
      <c r="AV76" s="327"/>
      <c r="AW76" s="327"/>
      <c r="AX76" s="327"/>
    </row>
    <row r="77" spans="2:50" x14ac:dyDescent="0.25">
      <c r="X77" s="327"/>
      <c r="Y77" s="327"/>
    </row>
    <row r="78" spans="2:50" ht="15.75" x14ac:dyDescent="0.25">
      <c r="B78" s="352" t="s">
        <v>29</v>
      </c>
      <c r="C78" s="352"/>
      <c r="D78" s="352"/>
      <c r="E78" s="352"/>
      <c r="F78" s="352"/>
      <c r="G78" s="352"/>
      <c r="H78" s="352"/>
      <c r="I78" s="352"/>
      <c r="J78" s="352"/>
      <c r="K78" s="352"/>
      <c r="L78" s="352"/>
      <c r="M78" s="352"/>
      <c r="N78" s="352"/>
      <c r="X78" s="327"/>
      <c r="Y78" s="327"/>
    </row>
    <row r="79" spans="2:50" ht="5.45" customHeight="1" outlineLevel="1" x14ac:dyDescent="0.25">
      <c r="B79" s="115"/>
      <c r="C79" s="115"/>
      <c r="D79" s="115"/>
      <c r="E79" s="115"/>
      <c r="F79" s="115"/>
      <c r="G79" s="115"/>
      <c r="H79" s="115"/>
      <c r="I79" s="115"/>
      <c r="J79" s="115"/>
      <c r="K79" s="115"/>
      <c r="L79" s="115"/>
      <c r="M79" s="115"/>
      <c r="N79" s="115"/>
      <c r="X79" s="326"/>
      <c r="Y79" s="326"/>
      <c r="Z79" s="115"/>
      <c r="AA79" s="115"/>
      <c r="AB79" s="115"/>
      <c r="AC79" s="115"/>
      <c r="AD79" s="115"/>
      <c r="AE79" s="115"/>
      <c r="AF79" s="115"/>
      <c r="AG79" s="115"/>
      <c r="AH79" s="115"/>
      <c r="AI79" s="115"/>
      <c r="AJ79" s="115"/>
      <c r="AK79" s="115"/>
      <c r="AL79" s="115"/>
      <c r="AM79" s="115"/>
      <c r="AN79" s="115"/>
      <c r="AO79" s="115"/>
      <c r="AP79" s="115"/>
      <c r="AQ79" s="115"/>
      <c r="AR79" s="115"/>
    </row>
    <row r="80" spans="2:50" outlineLevel="1" x14ac:dyDescent="0.25">
      <c r="B80" s="400"/>
      <c r="C80" s="385" t="s">
        <v>20</v>
      </c>
      <c r="D80" s="372" t="s">
        <v>262</v>
      </c>
      <c r="E80" s="373"/>
      <c r="F80" s="373"/>
      <c r="G80" s="373"/>
      <c r="H80" s="374"/>
      <c r="I80" s="277" t="s">
        <v>260</v>
      </c>
      <c r="J80" s="372" t="s">
        <v>261</v>
      </c>
      <c r="K80" s="373"/>
      <c r="L80" s="373"/>
      <c r="M80" s="373"/>
      <c r="N80" s="373"/>
      <c r="X80" s="327"/>
      <c r="Y80" s="327"/>
    </row>
    <row r="81" spans="2:25" outlineLevel="1" x14ac:dyDescent="0.25">
      <c r="B81" s="401"/>
      <c r="C81" s="386"/>
      <c r="D81" s="88">
        <f>$C$3-5</f>
        <v>2018</v>
      </c>
      <c r="E81" s="88">
        <f>$C$3-4</f>
        <v>2019</v>
      </c>
      <c r="F81" s="88">
        <f>$C$3-3</f>
        <v>2020</v>
      </c>
      <c r="G81" s="88">
        <f>$C$3-2</f>
        <v>2021</v>
      </c>
      <c r="H81" s="88" t="str">
        <f>$C$3-1&amp;""&amp;" ("&amp;"Σεπτ"&amp;")"</f>
        <v>2022 (Σεπτ)</v>
      </c>
      <c r="I81" s="88">
        <f>$C$3-1</f>
        <v>2022</v>
      </c>
      <c r="J81" s="88">
        <f>$C$3</f>
        <v>2023</v>
      </c>
      <c r="K81" s="88">
        <f>$C$3+1</f>
        <v>2024</v>
      </c>
      <c r="L81" s="88">
        <f>$C$3+2</f>
        <v>2025</v>
      </c>
      <c r="M81" s="88">
        <f>$C$3+3</f>
        <v>2026</v>
      </c>
      <c r="N81" s="88">
        <f>$C$3+4</f>
        <v>2027</v>
      </c>
      <c r="X81" s="327"/>
      <c r="Y81" s="327"/>
    </row>
    <row r="82" spans="2:25" outlineLevel="1" x14ac:dyDescent="0.25">
      <c r="B82" s="281" t="s">
        <v>283</v>
      </c>
      <c r="C82" s="64" t="s">
        <v>21</v>
      </c>
      <c r="D82" s="99"/>
      <c r="E82" s="99"/>
      <c r="F82" s="99"/>
      <c r="G82" s="99"/>
      <c r="H82" s="99"/>
      <c r="I82" s="99"/>
      <c r="J82" s="99">
        <v>7200</v>
      </c>
      <c r="K82" s="99">
        <v>9595.17</v>
      </c>
      <c r="L82" s="99">
        <v>12052.17</v>
      </c>
      <c r="M82" s="99">
        <v>12988.17</v>
      </c>
      <c r="N82" s="99">
        <v>13690.17</v>
      </c>
      <c r="X82" s="327"/>
      <c r="Y82" s="327"/>
    </row>
    <row r="83" spans="2:25" outlineLevel="1" x14ac:dyDescent="0.25">
      <c r="B83" s="52" t="s">
        <v>284</v>
      </c>
      <c r="C83" s="64" t="s">
        <v>21</v>
      </c>
      <c r="D83" s="99"/>
      <c r="E83" s="99"/>
      <c r="F83" s="99"/>
      <c r="G83" s="99"/>
      <c r="H83" s="99"/>
      <c r="I83" s="99"/>
      <c r="J83" s="99">
        <v>16672.5</v>
      </c>
      <c r="K83" s="99">
        <v>31092.75</v>
      </c>
      <c r="L83" s="99">
        <v>31092.75</v>
      </c>
      <c r="M83" s="99">
        <v>31092.75</v>
      </c>
      <c r="N83" s="99">
        <v>31092.75</v>
      </c>
      <c r="X83" s="327"/>
      <c r="Y83" s="327"/>
    </row>
    <row r="84" spans="2:25" outlineLevel="1" x14ac:dyDescent="0.25">
      <c r="B84" s="52" t="s">
        <v>285</v>
      </c>
      <c r="C84" s="64" t="s">
        <v>21</v>
      </c>
      <c r="D84" s="99"/>
      <c r="E84" s="99"/>
      <c r="F84" s="99"/>
      <c r="G84" s="99"/>
      <c r="H84" s="99"/>
      <c r="I84" s="99"/>
      <c r="J84" s="99">
        <v>16672.5</v>
      </c>
      <c r="K84" s="99">
        <v>31092.75</v>
      </c>
      <c r="L84" s="99">
        <v>31092.75</v>
      </c>
      <c r="M84" s="99">
        <v>31092.75</v>
      </c>
      <c r="N84" s="99">
        <v>31092.75</v>
      </c>
    </row>
    <row r="85" spans="2:25" outlineLevel="1" x14ac:dyDescent="0.25">
      <c r="B85" s="52" t="s">
        <v>286</v>
      </c>
      <c r="C85" s="64" t="s">
        <v>21</v>
      </c>
      <c r="D85" s="99"/>
      <c r="E85" s="99"/>
      <c r="F85" s="99"/>
      <c r="G85" s="99"/>
      <c r="H85" s="99"/>
      <c r="I85" s="99"/>
      <c r="J85" s="99">
        <v>73359</v>
      </c>
      <c r="K85" s="99">
        <v>121426.5</v>
      </c>
      <c r="L85" s="99">
        <v>121426.5</v>
      </c>
      <c r="M85" s="99">
        <v>121426.5</v>
      </c>
      <c r="N85" s="99">
        <v>121426.5</v>
      </c>
    </row>
    <row r="86" spans="2:25" outlineLevel="1" x14ac:dyDescent="0.25">
      <c r="B86" s="52" t="s">
        <v>287</v>
      </c>
      <c r="C86" s="64" t="s">
        <v>21</v>
      </c>
      <c r="D86" s="99"/>
      <c r="E86" s="99"/>
      <c r="F86" s="99"/>
      <c r="G86" s="99"/>
      <c r="H86" s="99"/>
      <c r="I86" s="99"/>
      <c r="J86" s="99">
        <v>91143</v>
      </c>
      <c r="K86" s="99">
        <v>139210.5</v>
      </c>
      <c r="L86" s="99">
        <v>139210.5</v>
      </c>
      <c r="M86" s="99">
        <v>139210.5</v>
      </c>
      <c r="N86" s="99">
        <v>139210.5</v>
      </c>
    </row>
    <row r="87" spans="2:25" outlineLevel="1" x14ac:dyDescent="0.25">
      <c r="B87" s="52" t="s">
        <v>288</v>
      </c>
      <c r="C87" s="64" t="s">
        <v>21</v>
      </c>
      <c r="D87" s="99"/>
      <c r="E87" s="99"/>
      <c r="F87" s="99"/>
      <c r="G87" s="99"/>
      <c r="H87" s="99"/>
      <c r="I87" s="99"/>
      <c r="J87" s="99">
        <v>36897.353999999999</v>
      </c>
      <c r="K87" s="99">
        <v>52278.953999999991</v>
      </c>
      <c r="L87" s="99">
        <v>52278.953999999991</v>
      </c>
      <c r="M87" s="99">
        <v>52278.953999999991</v>
      </c>
      <c r="N87" s="99">
        <v>52278.953999999991</v>
      </c>
    </row>
    <row r="88" spans="2:25" outlineLevel="1" x14ac:dyDescent="0.25">
      <c r="B88" s="52" t="s">
        <v>289</v>
      </c>
      <c r="C88" s="64" t="s">
        <v>21</v>
      </c>
      <c r="D88" s="99"/>
      <c r="E88" s="99"/>
      <c r="F88" s="99"/>
      <c r="G88" s="99"/>
      <c r="H88" s="99"/>
      <c r="I88" s="99"/>
      <c r="J88" s="99">
        <v>78027.3</v>
      </c>
      <c r="K88" s="99">
        <v>126094.79999999999</v>
      </c>
      <c r="L88" s="99">
        <v>126094.79999999999</v>
      </c>
      <c r="M88" s="99">
        <v>126094.79999999999</v>
      </c>
      <c r="N88" s="99">
        <v>126094.79999999999</v>
      </c>
    </row>
    <row r="89" spans="2:25" outlineLevel="1" x14ac:dyDescent="0.25">
      <c r="B89" s="52" t="s">
        <v>290</v>
      </c>
      <c r="C89" s="64" t="s">
        <v>21</v>
      </c>
      <c r="D89" s="99"/>
      <c r="E89" s="99"/>
      <c r="F89" s="99"/>
      <c r="G89" s="99"/>
      <c r="H89" s="99"/>
      <c r="I89" s="99"/>
      <c r="J89" s="99">
        <v>68913</v>
      </c>
      <c r="K89" s="99">
        <v>116980.5</v>
      </c>
      <c r="L89" s="99">
        <v>116980.5</v>
      </c>
      <c r="M89" s="99">
        <v>116980.5</v>
      </c>
      <c r="N89" s="99">
        <v>116980.5</v>
      </c>
    </row>
    <row r="90" spans="2:25" outlineLevel="1" x14ac:dyDescent="0.25">
      <c r="B90" s="52" t="s">
        <v>291</v>
      </c>
      <c r="C90" s="64" t="s">
        <v>21</v>
      </c>
      <c r="D90" s="99"/>
      <c r="E90" s="99"/>
      <c r="F90" s="99"/>
      <c r="G90" s="99"/>
      <c r="H90" s="99"/>
      <c r="I90" s="99"/>
      <c r="J90" s="99">
        <v>57642.390000000007</v>
      </c>
      <c r="K90" s="99">
        <v>57642.390000000007</v>
      </c>
      <c r="L90" s="99">
        <v>57642.390000000007</v>
      </c>
      <c r="M90" s="99">
        <v>57642.390000000007</v>
      </c>
      <c r="N90" s="99">
        <v>57642.390000000007</v>
      </c>
    </row>
    <row r="91" spans="2:25" outlineLevel="1" x14ac:dyDescent="0.25">
      <c r="B91" s="52" t="s">
        <v>307</v>
      </c>
      <c r="C91" s="64"/>
      <c r="D91" s="99"/>
      <c r="E91" s="99"/>
      <c r="F91" s="99"/>
      <c r="G91" s="99"/>
      <c r="H91" s="99"/>
      <c r="I91" s="99"/>
      <c r="J91" s="99">
        <v>16800</v>
      </c>
      <c r="K91" s="99">
        <v>33600</v>
      </c>
      <c r="L91" s="99">
        <v>33600</v>
      </c>
      <c r="M91" s="99">
        <v>33600</v>
      </c>
      <c r="N91" s="99">
        <v>33600</v>
      </c>
    </row>
    <row r="92" spans="2:25" outlineLevel="1" x14ac:dyDescent="0.25">
      <c r="B92" s="52" t="s">
        <v>304</v>
      </c>
      <c r="C92" s="64"/>
      <c r="D92" s="99"/>
      <c r="E92" s="99"/>
      <c r="F92" s="99"/>
      <c r="G92" s="99"/>
      <c r="H92" s="99"/>
      <c r="I92" s="99"/>
      <c r="J92" s="99">
        <v>16800</v>
      </c>
      <c r="K92" s="99">
        <v>33600</v>
      </c>
      <c r="L92" s="99">
        <v>33600</v>
      </c>
      <c r="M92" s="99">
        <v>33600</v>
      </c>
      <c r="N92" s="99">
        <v>33600</v>
      </c>
    </row>
    <row r="93" spans="2:25" outlineLevel="1" x14ac:dyDescent="0.25">
      <c r="B93" s="52" t="s">
        <v>305</v>
      </c>
      <c r="C93" s="64"/>
      <c r="D93" s="99"/>
      <c r="E93" s="99"/>
      <c r="F93" s="99"/>
      <c r="G93" s="99"/>
      <c r="H93" s="99"/>
      <c r="I93" s="99"/>
      <c r="J93" s="99">
        <v>16800</v>
      </c>
      <c r="K93" s="99">
        <v>33600</v>
      </c>
      <c r="L93" s="99">
        <v>33600</v>
      </c>
      <c r="M93" s="99">
        <v>33600</v>
      </c>
      <c r="N93" s="99">
        <v>33600</v>
      </c>
    </row>
    <row r="94" spans="2:25" outlineLevel="1" x14ac:dyDescent="0.25">
      <c r="B94" s="52" t="s">
        <v>306</v>
      </c>
      <c r="C94" s="64"/>
      <c r="D94" s="99"/>
      <c r="E94" s="99"/>
      <c r="F94" s="99"/>
      <c r="G94" s="99"/>
      <c r="H94" s="99"/>
      <c r="I94" s="99"/>
      <c r="J94" s="99">
        <v>21000</v>
      </c>
      <c r="K94" s="99">
        <v>44800</v>
      </c>
      <c r="L94" s="99">
        <v>44800</v>
      </c>
      <c r="M94" s="99">
        <v>44800</v>
      </c>
      <c r="N94" s="99">
        <v>44800</v>
      </c>
    </row>
    <row r="95" spans="2:25" outlineLevel="1" x14ac:dyDescent="0.25">
      <c r="B95" s="52" t="s">
        <v>308</v>
      </c>
      <c r="C95" s="64"/>
      <c r="D95" s="99"/>
      <c r="E95" s="99"/>
      <c r="F95" s="99"/>
      <c r="G95" s="99"/>
      <c r="H95" s="99"/>
      <c r="I95" s="99"/>
      <c r="J95" s="99">
        <v>21000</v>
      </c>
      <c r="K95" s="99">
        <v>44800</v>
      </c>
      <c r="L95" s="99">
        <v>44800</v>
      </c>
      <c r="M95" s="99">
        <v>44800</v>
      </c>
      <c r="N95" s="99">
        <v>44800</v>
      </c>
    </row>
    <row r="96" spans="2:25" outlineLevel="1" x14ac:dyDescent="0.25">
      <c r="B96" s="52"/>
      <c r="C96" s="64"/>
      <c r="D96" s="99"/>
      <c r="E96" s="99"/>
      <c r="F96" s="99"/>
      <c r="G96" s="99"/>
      <c r="H96" s="99"/>
      <c r="I96" s="99"/>
      <c r="J96" s="99"/>
      <c r="K96" s="99"/>
      <c r="L96" s="99"/>
      <c r="M96" s="99"/>
      <c r="N96" s="99"/>
    </row>
    <row r="97" spans="2:14" ht="15" customHeight="1" outlineLevel="1" x14ac:dyDescent="0.25">
      <c r="B97" s="349" t="s">
        <v>90</v>
      </c>
      <c r="C97" s="350"/>
      <c r="D97" s="350"/>
      <c r="E97" s="350"/>
      <c r="F97" s="350"/>
      <c r="G97" s="350"/>
      <c r="H97" s="350"/>
      <c r="I97" s="350"/>
      <c r="J97" s="350"/>
      <c r="K97" s="350"/>
      <c r="L97" s="350"/>
      <c r="M97" s="350"/>
      <c r="N97" s="397"/>
    </row>
    <row r="98" spans="2:14" outlineLevel="1" x14ac:dyDescent="0.25">
      <c r="B98" s="52" t="s">
        <v>84</v>
      </c>
      <c r="C98" s="64" t="s">
        <v>21</v>
      </c>
      <c r="D98" s="188">
        <f t="shared" ref="D98:N98" si="46">SUM(D82:D96)</f>
        <v>0</v>
      </c>
      <c r="E98" s="234">
        <f t="shared" si="46"/>
        <v>0</v>
      </c>
      <c r="F98" s="234">
        <f t="shared" si="46"/>
        <v>0</v>
      </c>
      <c r="G98" s="234">
        <f t="shared" si="46"/>
        <v>0</v>
      </c>
      <c r="H98" s="234">
        <f t="shared" si="46"/>
        <v>0</v>
      </c>
      <c r="I98" s="234">
        <f t="shared" si="46"/>
        <v>0</v>
      </c>
      <c r="J98" s="234">
        <f t="shared" si="46"/>
        <v>538927.04399999999</v>
      </c>
      <c r="K98" s="234">
        <f t="shared" si="46"/>
        <v>875814.3139999999</v>
      </c>
      <c r="L98" s="234">
        <f t="shared" si="46"/>
        <v>878271.3139999999</v>
      </c>
      <c r="M98" s="234">
        <f t="shared" si="46"/>
        <v>879207.3139999999</v>
      </c>
      <c r="N98" s="234">
        <f t="shared" si="46"/>
        <v>879909.3139999999</v>
      </c>
    </row>
    <row r="99" spans="2:14" ht="31.15" customHeight="1" outlineLevel="1" x14ac:dyDescent="0.25">
      <c r="B99" s="433" t="s">
        <v>30</v>
      </c>
      <c r="C99" s="433"/>
      <c r="D99" s="433"/>
      <c r="E99" s="433"/>
      <c r="F99" s="433"/>
      <c r="G99" s="433"/>
      <c r="H99" s="433"/>
      <c r="I99" s="433"/>
      <c r="J99" s="59"/>
    </row>
  </sheetData>
  <mergeCells count="43">
    <mergeCell ref="B80:B81"/>
    <mergeCell ref="B78:N78"/>
    <mergeCell ref="D58:H58"/>
    <mergeCell ref="J58:N58"/>
    <mergeCell ref="D80:H80"/>
    <mergeCell ref="J80:N80"/>
    <mergeCell ref="D11:W11"/>
    <mergeCell ref="X11:AA11"/>
    <mergeCell ref="AB11:AU11"/>
    <mergeCell ref="B11:B13"/>
    <mergeCell ref="C11:C13"/>
    <mergeCell ref="C2:F2"/>
    <mergeCell ref="B99:I99"/>
    <mergeCell ref="D12:G12"/>
    <mergeCell ref="H12:K12"/>
    <mergeCell ref="B34:N34"/>
    <mergeCell ref="B53:N53"/>
    <mergeCell ref="B56:N56"/>
    <mergeCell ref="B75:N75"/>
    <mergeCell ref="B9:AU9"/>
    <mergeCell ref="B29:AU29"/>
    <mergeCell ref="L12:O12"/>
    <mergeCell ref="B5:I5"/>
    <mergeCell ref="AN12:AQ12"/>
    <mergeCell ref="AR12:AU12"/>
    <mergeCell ref="J2:L2"/>
    <mergeCell ref="AF12:AI12"/>
    <mergeCell ref="AJ39:AM39"/>
    <mergeCell ref="AN39:AQ39"/>
    <mergeCell ref="AR39:AU39"/>
    <mergeCell ref="B97:N97"/>
    <mergeCell ref="AJ12:AM12"/>
    <mergeCell ref="T12:W12"/>
    <mergeCell ref="P12:S12"/>
    <mergeCell ref="X12:AA12"/>
    <mergeCell ref="AB12:AE12"/>
    <mergeCell ref="D36:H36"/>
    <mergeCell ref="J36:N36"/>
    <mergeCell ref="C36:C37"/>
    <mergeCell ref="B36:B37"/>
    <mergeCell ref="B58:B59"/>
    <mergeCell ref="C58:C59"/>
    <mergeCell ref="C80:C81"/>
  </mergeCells>
  <hyperlinks>
    <hyperlink ref="J2" location="'Αρχική σελίδα'!A1" display="Πίσω στην αρχική σελίδα" xr:uid="{36AD1299-6F17-4452-BB43-20BCD1CC01B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B2:AG179"/>
  <sheetViews>
    <sheetView showGridLines="0" topLeftCell="A6" zoomScale="85" zoomScaleNormal="85" workbookViewId="0">
      <selection activeCell="O97" sqref="O97:W97"/>
    </sheetView>
  </sheetViews>
  <sheetFormatPr defaultRowHeight="15" outlineLevelRow="1" x14ac:dyDescent="0.25"/>
  <cols>
    <col min="1" max="1" width="2.85546875" customWidth="1"/>
    <col min="2" max="2" width="28.28515625" customWidth="1"/>
    <col min="3" max="12" width="13.7109375" customWidth="1"/>
    <col min="13" max="13" width="24.7109375" customWidth="1"/>
    <col min="14" max="14" width="1.7109375" customWidth="1"/>
    <col min="15" max="15" width="13.7109375" customWidth="1"/>
    <col min="16" max="16" width="13.7109375" hidden="1" customWidth="1"/>
    <col min="17" max="17" width="13.7109375" customWidth="1"/>
    <col min="18" max="18" width="13.7109375" hidden="1" customWidth="1"/>
    <col min="19" max="19" width="13.7109375" customWidth="1"/>
    <col min="20" max="20" width="13.7109375" hidden="1" customWidth="1"/>
    <col min="21" max="21" width="13.7109375" customWidth="1"/>
    <col min="22" max="22" width="13.7109375" hidden="1" customWidth="1"/>
    <col min="23" max="23" width="13.7109375" customWidth="1"/>
    <col min="24" max="24" width="13.7109375" hidden="1" customWidth="1"/>
    <col min="25" max="25" width="24.7109375" hidden="1" customWidth="1"/>
    <col min="26" max="26" width="14.28515625" customWidth="1"/>
  </cols>
  <sheetData>
    <row r="2" spans="2:33" ht="18.75" x14ac:dyDescent="0.3">
      <c r="B2" s="1" t="s">
        <v>1</v>
      </c>
      <c r="C2" s="353" t="str">
        <f>'Αρχική σελίδα'!C3</f>
        <v>HENGAS</v>
      </c>
      <c r="D2" s="353"/>
      <c r="E2" s="353"/>
      <c r="F2" s="353"/>
      <c r="G2" s="353"/>
      <c r="H2" s="110"/>
      <c r="J2" s="354" t="s">
        <v>213</v>
      </c>
      <c r="K2" s="354"/>
      <c r="L2" s="354"/>
    </row>
    <row r="3" spans="2:33" ht="18.75" x14ac:dyDescent="0.3">
      <c r="B3" s="2" t="s">
        <v>2</v>
      </c>
      <c r="C3" s="111">
        <f>'Αρχική σελίδα'!C4</f>
        <v>2023</v>
      </c>
      <c r="D3" s="48" t="s">
        <v>0</v>
      </c>
      <c r="E3" s="48">
        <f>C3+4</f>
        <v>2027</v>
      </c>
    </row>
    <row r="4" spans="2:33" ht="14.45" customHeight="1" x14ac:dyDescent="0.3">
      <c r="C4" s="2"/>
      <c r="D4" s="48"/>
      <c r="E4" s="48"/>
    </row>
    <row r="5" spans="2:33" ht="44.45" customHeight="1" x14ac:dyDescent="0.25">
      <c r="B5" s="355" t="s">
        <v>251</v>
      </c>
      <c r="C5" s="355"/>
      <c r="D5" s="355"/>
      <c r="E5" s="355"/>
      <c r="F5" s="355"/>
      <c r="G5" s="355"/>
      <c r="H5" s="355"/>
      <c r="I5" s="355"/>
    </row>
    <row r="6" spans="2:33" x14ac:dyDescent="0.25">
      <c r="B6" s="271"/>
      <c r="C6" s="271"/>
      <c r="D6" s="271"/>
      <c r="E6" s="271"/>
      <c r="F6" s="271"/>
      <c r="G6" s="271"/>
      <c r="H6" s="271"/>
    </row>
    <row r="7" spans="2:33" ht="18.75" x14ac:dyDescent="0.3">
      <c r="B7" s="112"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(2018 - 2022) και εξέλιξη σύμφωνα με το Πρόγραμμα Ανάπτυξης  2023 - 2027</v>
      </c>
      <c r="C7" s="113"/>
      <c r="D7" s="113"/>
      <c r="E7" s="113"/>
      <c r="F7" s="113"/>
      <c r="G7" s="113"/>
      <c r="H7" s="113"/>
      <c r="I7" s="113"/>
      <c r="J7" s="114"/>
      <c r="K7" s="110"/>
      <c r="L7" s="110"/>
      <c r="M7" s="110"/>
    </row>
    <row r="8" spans="2:33" ht="18.75" x14ac:dyDescent="0.3">
      <c r="C8" s="2"/>
      <c r="D8" s="48"/>
      <c r="E8" s="48"/>
    </row>
    <row r="9" spans="2:33" ht="15.75" x14ac:dyDescent="0.25">
      <c r="B9" s="352" t="s">
        <v>31</v>
      </c>
      <c r="C9" s="352"/>
      <c r="D9" s="352"/>
      <c r="E9" s="352"/>
      <c r="F9" s="352"/>
      <c r="G9" s="352"/>
      <c r="H9" s="352"/>
      <c r="I9" s="352"/>
      <c r="J9" s="352"/>
      <c r="K9" s="352"/>
      <c r="L9" s="352"/>
      <c r="M9" s="352"/>
      <c r="N9" s="352"/>
      <c r="O9" s="352"/>
      <c r="P9" s="352"/>
      <c r="Q9" s="352"/>
      <c r="R9" s="352"/>
      <c r="S9" s="352"/>
      <c r="T9" s="352"/>
      <c r="U9" s="352"/>
      <c r="V9" s="352"/>
      <c r="W9" s="352"/>
      <c r="X9" s="352"/>
      <c r="Y9" s="352"/>
    </row>
    <row r="10" spans="2:33"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row>
    <row r="11" spans="2:33" ht="14.25" customHeight="1" outlineLevel="1" x14ac:dyDescent="0.25">
      <c r="B11" s="382"/>
      <c r="C11" s="385" t="s">
        <v>20</v>
      </c>
      <c r="D11" s="372" t="s">
        <v>262</v>
      </c>
      <c r="E11" s="373"/>
      <c r="F11" s="373"/>
      <c r="G11" s="373"/>
      <c r="H11" s="373"/>
      <c r="I11" s="373"/>
      <c r="J11" s="374"/>
      <c r="K11" s="373" t="s">
        <v>277</v>
      </c>
      <c r="L11" s="374"/>
      <c r="M11" s="434" t="str">
        <f>"Ετήσιος ρυθμός ανάπτυξης (CAGR) "&amp;($C$3-5)&amp;" - "&amp;(($C$3-1))</f>
        <v>Ετήσιος ρυθμός ανάπτυξης (CAGR) 2018 - 2022</v>
      </c>
      <c r="N11" s="115"/>
      <c r="O11" s="440" t="s">
        <v>261</v>
      </c>
      <c r="P11" s="441"/>
      <c r="Q11" s="441"/>
      <c r="R11" s="441"/>
      <c r="S11" s="441"/>
      <c r="T11" s="441"/>
      <c r="U11" s="441"/>
      <c r="V11" s="441"/>
      <c r="W11" s="441"/>
      <c r="X11" s="442"/>
      <c r="Y11" s="434" t="str">
        <f>"Ετήσιος ρυθμός ανάπτυξης (CAGR) "&amp;$C$3&amp;" - "&amp;$E$3</f>
        <v>Ετήσιος ρυθμός ανάπτυξης (CAGR) 2023 - 2027</v>
      </c>
    </row>
    <row r="12" spans="2:33" ht="15.75" customHeight="1" outlineLevel="1" x14ac:dyDescent="0.25">
      <c r="B12" s="383"/>
      <c r="C12" s="386"/>
      <c r="D12" s="69">
        <f>$C$3-5</f>
        <v>2018</v>
      </c>
      <c r="E12" s="372">
        <f>$C$3-4</f>
        <v>2019</v>
      </c>
      <c r="F12" s="374"/>
      <c r="G12" s="372">
        <f>$C$3-3</f>
        <v>2020</v>
      </c>
      <c r="H12" s="374"/>
      <c r="I12" s="372">
        <f>$C$3+-2</f>
        <v>2021</v>
      </c>
      <c r="J12" s="374"/>
      <c r="K12" s="372">
        <f>$C$3-1</f>
        <v>2022</v>
      </c>
      <c r="L12" s="374"/>
      <c r="M12" s="435"/>
      <c r="N12" s="115"/>
      <c r="O12" s="372">
        <f>$C$3</f>
        <v>2023</v>
      </c>
      <c r="P12" s="374"/>
      <c r="Q12" s="372">
        <f>$C$3+1</f>
        <v>2024</v>
      </c>
      <c r="R12" s="374"/>
      <c r="S12" s="372">
        <f>$C$3+2</f>
        <v>2025</v>
      </c>
      <c r="T12" s="374"/>
      <c r="U12" s="372">
        <f>$C$3+3</f>
        <v>2026</v>
      </c>
      <c r="V12" s="374"/>
      <c r="W12" s="372">
        <f>$C$3+4</f>
        <v>2027</v>
      </c>
      <c r="X12" s="374"/>
      <c r="Y12" s="443"/>
    </row>
    <row r="13" spans="2:33" outlineLevel="1" x14ac:dyDescent="0.25">
      <c r="B13" s="384"/>
      <c r="C13" s="387"/>
      <c r="D13" s="69" t="s">
        <v>93</v>
      </c>
      <c r="E13" s="69" t="s">
        <v>93</v>
      </c>
      <c r="F13" s="68" t="s">
        <v>81</v>
      </c>
      <c r="G13" s="69" t="s">
        <v>93</v>
      </c>
      <c r="H13" s="68" t="s">
        <v>81</v>
      </c>
      <c r="I13" s="69" t="s">
        <v>93</v>
      </c>
      <c r="J13" s="68" t="s">
        <v>81</v>
      </c>
      <c r="K13" s="69" t="s">
        <v>93</v>
      </c>
      <c r="L13" s="68" t="s">
        <v>81</v>
      </c>
      <c r="M13" s="436"/>
      <c r="O13" s="69" t="s">
        <v>93</v>
      </c>
      <c r="P13" s="68" t="s">
        <v>81</v>
      </c>
      <c r="Q13" s="69" t="s">
        <v>93</v>
      </c>
      <c r="R13" s="68" t="s">
        <v>81</v>
      </c>
      <c r="S13" s="69" t="s">
        <v>93</v>
      </c>
      <c r="T13" s="68" t="s">
        <v>81</v>
      </c>
      <c r="U13" s="69" t="s">
        <v>93</v>
      </c>
      <c r="V13" s="68" t="s">
        <v>81</v>
      </c>
      <c r="W13" s="69" t="s">
        <v>93</v>
      </c>
      <c r="X13" s="68" t="s">
        <v>81</v>
      </c>
      <c r="Y13" s="444"/>
      <c r="AA13" s="332"/>
      <c r="AB13" s="332"/>
      <c r="AC13" s="332"/>
      <c r="AD13" s="332"/>
      <c r="AE13" s="332"/>
      <c r="AF13" s="332"/>
    </row>
    <row r="14" spans="2:33" outlineLevel="1" x14ac:dyDescent="0.25">
      <c r="B14" s="281" t="s">
        <v>283</v>
      </c>
      <c r="C14" s="64" t="s">
        <v>55</v>
      </c>
      <c r="D14" s="235">
        <f>IFERROR('Ενεργοί πελάτες'!E14/'Παραδοχές διείσδυσης - κάλυψης'!D14,0)</f>
        <v>0</v>
      </c>
      <c r="E14" s="236">
        <f>IFERROR('Ενεργοί πελάτες'!G14/'Παραδοχές διείσδυσης - κάλυψης'!H14,0)</f>
        <v>0</v>
      </c>
      <c r="F14" s="191">
        <f>IFERROR((E14-D14)/D14,0)</f>
        <v>0</v>
      </c>
      <c r="G14" s="236">
        <f>IFERROR('Ενεργοί πελάτες'!J14/'Παραδοχές διείσδυσης - κάλυψης'!L14,0)</f>
        <v>0</v>
      </c>
      <c r="H14" s="191">
        <f>IFERROR((G14-E14)/E14,0)</f>
        <v>0</v>
      </c>
      <c r="I14" s="236">
        <f>IFERROR('Ενεργοί πελάτες'!M14/'Παραδοχές διείσδυσης - κάλυψης'!P14,0)</f>
        <v>0</v>
      </c>
      <c r="J14" s="191">
        <f>IFERROR((I14-G14)/G14,0)</f>
        <v>0</v>
      </c>
      <c r="K14" s="236">
        <f>IFERROR('Ενεργοί πελάτες'!S14/'Παραδοχές διείσδυσης - κάλυψης'!X14,0)</f>
        <v>0</v>
      </c>
      <c r="L14" s="191">
        <f>IFERROR((K14-I14)/I14,0)</f>
        <v>0</v>
      </c>
      <c r="M14" s="237">
        <f t="shared" ref="M14:M17" si="0">IFERROR((K14/D14)^(1/4)-1,0)</f>
        <v>0</v>
      </c>
      <c r="O14" s="236">
        <f>IFERROR('Ενεργοί πελάτες'!Y14/'Παραδοχές διείσδυσης - κάλυψης'!AB14,0)</f>
        <v>0.53872648591362715</v>
      </c>
      <c r="P14" s="191">
        <f>IFERROR((O14-K14)/K14,0)</f>
        <v>0</v>
      </c>
      <c r="Q14" s="236">
        <f>IFERROR('Ενεργοί πελάτες'!AB14/'Παραδοχές διείσδυσης - κάλυψης'!AF14,0)</f>
        <v>0.66543625865659761</v>
      </c>
      <c r="R14" s="191">
        <f>IFERROR((Q14-O14)/O14,0)</f>
        <v>0.23520241914240236</v>
      </c>
      <c r="S14" s="236">
        <f>IFERROR('Ενεργοί πελάτες'!AE14/'Παραδοχές διείσδυσης - κάλυψης'!AJ14,0)</f>
        <v>0.67053548586893585</v>
      </c>
      <c r="T14" s="191">
        <f>IFERROR((S14-Q14)/Q14,0)</f>
        <v>7.6629837133202101E-3</v>
      </c>
      <c r="U14" s="236">
        <f>IFERROR('Ενεργοί πελάτες'!AH14/'Παραδοχές διείσδυσης - κάλυψης'!AN14,0)</f>
        <v>0.64234358082215115</v>
      </c>
      <c r="V14" s="191">
        <f>IFERROR((U14-S14)/S14,0)</f>
        <v>-4.2043867387944849E-2</v>
      </c>
      <c r="W14" s="236">
        <f>IFERROR('Ενεργοί πελάτες'!AK14/'Παραδοχές διείσδυσης - κάλυψης'!AR14,0)</f>
        <v>0.6289817202187562</v>
      </c>
      <c r="X14" s="191">
        <f>IFERROR((W14-U14)/U14,0)</f>
        <v>-2.0801734464743586E-2</v>
      </c>
      <c r="Y14" s="235">
        <f>IFERROR((W14/O14)^(1/4)-1,0)</f>
        <v>3.9483078774585456E-2</v>
      </c>
      <c r="AA14" s="333"/>
      <c r="AB14" s="334"/>
      <c r="AC14" s="334"/>
      <c r="AD14" s="334"/>
      <c r="AE14" s="334"/>
      <c r="AF14" s="334"/>
    </row>
    <row r="15" spans="2:33" outlineLevel="1" x14ac:dyDescent="0.25">
      <c r="B15" s="52" t="s">
        <v>284</v>
      </c>
      <c r="C15" s="64" t="s">
        <v>55</v>
      </c>
      <c r="D15" s="235">
        <f>IFERROR('Ενεργοί πελάτες'!E15/'Παραδοχές διείσδυσης - κάλυψης'!D15,0)</f>
        <v>0</v>
      </c>
      <c r="E15" s="236">
        <f>IFERROR('Ενεργοί πελάτες'!G15/'Παραδοχές διείσδυσης - κάλυψης'!H15,0)</f>
        <v>0</v>
      </c>
      <c r="F15" s="191">
        <f t="shared" ref="F15:F30" si="1">IFERROR((E15-D15)/D15,0)</f>
        <v>0</v>
      </c>
      <c r="G15" s="236">
        <f>IFERROR('Ενεργοί πελάτες'!J15/'Παραδοχές διείσδυσης - κάλυψης'!L15,0)</f>
        <v>0</v>
      </c>
      <c r="H15" s="191">
        <f t="shared" ref="H15:L30" si="2">IFERROR((G15-E15)/E15,0)</f>
        <v>0</v>
      </c>
      <c r="I15" s="236">
        <f>IFERROR('Ενεργοί πελάτες'!M15/'Παραδοχές διείσδυσης - κάλυψης'!P15,0)</f>
        <v>0</v>
      </c>
      <c r="J15" s="191">
        <f t="shared" si="2"/>
        <v>0</v>
      </c>
      <c r="K15" s="236">
        <f>IFERROR('Ενεργοί πελάτες'!S15/'Παραδοχές διείσδυσης - κάλυψης'!X15,0)</f>
        <v>0</v>
      </c>
      <c r="L15" s="191">
        <f t="shared" si="2"/>
        <v>0</v>
      </c>
      <c r="M15" s="237">
        <f t="shared" si="0"/>
        <v>0</v>
      </c>
      <c r="N15" s="55"/>
      <c r="O15" s="236">
        <f>IFERROR('Ενεργοί πελάτες'!Y15/'Παραδοχές διείσδυσης - κάλυψης'!AB15,0)</f>
        <v>0.77242259814873915</v>
      </c>
      <c r="P15" s="191">
        <f t="shared" ref="P15:P30" si="3">IFERROR((O15-K15)/K15,0)</f>
        <v>0</v>
      </c>
      <c r="Q15" s="236">
        <f>IFERROR('Ενεργοί πελάτες'!AB15/'Παραδοχές διείσδυσης - κάλυψης'!AF15,0)</f>
        <v>0.69010247762355681</v>
      </c>
      <c r="R15" s="191">
        <f t="shared" ref="R15:X30" si="4">IFERROR((Q15-O15)/O15,0)</f>
        <v>-0.10657394115925467</v>
      </c>
      <c r="S15" s="236">
        <f>IFERROR('Ενεργοί πελάτες'!AE15/'Παραδοχές διείσδυσης - κάλυψης'!AJ15,0)</f>
        <v>0.74682598954443613</v>
      </c>
      <c r="T15" s="191">
        <f t="shared" si="4"/>
        <v>8.2195780713920821E-2</v>
      </c>
      <c r="U15" s="236">
        <f>IFERROR('Ενεργοί πελάτες'!AH15/'Παραδοχές διείσδυσης - κάλυψης'!AN15,0)</f>
        <v>0.6911928651059086</v>
      </c>
      <c r="V15" s="191">
        <f t="shared" si="4"/>
        <v>-7.4492753623188357E-2</v>
      </c>
      <c r="W15" s="236">
        <f>IFERROR('Ενεργοί πελάτες'!AK15/'Παραδοχές διείσδυσης - κάλυψης'!AR15,0)</f>
        <v>0.65111472021260897</v>
      </c>
      <c r="X15" s="191">
        <f t="shared" si="4"/>
        <v>-5.7984025756918994E-2</v>
      </c>
      <c r="Y15" s="235">
        <f t="shared" ref="Y15:Y17" si="5">IFERROR((W15/O15)^(1/4)-1,0)</f>
        <v>-4.1812202800540987E-2</v>
      </c>
      <c r="AA15" s="333"/>
      <c r="AB15" s="334"/>
      <c r="AC15" s="334"/>
      <c r="AD15" s="334"/>
      <c r="AE15" s="334"/>
      <c r="AF15" s="334"/>
    </row>
    <row r="16" spans="2:33" outlineLevel="1" x14ac:dyDescent="0.25">
      <c r="B16" s="52" t="s">
        <v>285</v>
      </c>
      <c r="C16" s="64" t="s">
        <v>55</v>
      </c>
      <c r="D16" s="235">
        <f>IFERROR('Ενεργοί πελάτες'!E16/'Παραδοχές διείσδυσης - κάλυψης'!D16,0)</f>
        <v>0</v>
      </c>
      <c r="E16" s="236">
        <f>IFERROR('Ενεργοί πελάτες'!G16/'Παραδοχές διείσδυσης - κάλυψης'!H16,0)</f>
        <v>0</v>
      </c>
      <c r="F16" s="191">
        <f t="shared" si="1"/>
        <v>0</v>
      </c>
      <c r="G16" s="236">
        <f>IFERROR('Ενεργοί πελάτες'!J16/'Παραδοχές διείσδυσης - κάλυψης'!L16,0)</f>
        <v>0</v>
      </c>
      <c r="H16" s="191">
        <f t="shared" si="2"/>
        <v>0</v>
      </c>
      <c r="I16" s="236">
        <f>IFERROR('Ενεργοί πελάτες'!M16/'Παραδοχές διείσδυσης - κάλυψης'!P16,0)</f>
        <v>0</v>
      </c>
      <c r="J16" s="191">
        <f t="shared" si="2"/>
        <v>0</v>
      </c>
      <c r="K16" s="236">
        <f>IFERROR('Ενεργοί πελάτες'!S16/'Παραδοχές διείσδυσης - κάλυψης'!X16,0)</f>
        <v>0</v>
      </c>
      <c r="L16" s="191">
        <f t="shared" si="2"/>
        <v>0</v>
      </c>
      <c r="M16" s="237">
        <f t="shared" si="0"/>
        <v>0</v>
      </c>
      <c r="O16" s="236">
        <f>IFERROR('Ενεργοί πελάτες'!Y16/'Παραδοχές διείσδυσης - κάλυψης'!AB16,0)</f>
        <v>0.89619118745332338</v>
      </c>
      <c r="P16" s="191">
        <f t="shared" si="3"/>
        <v>0</v>
      </c>
      <c r="Q16" s="236">
        <f>IFERROR('Ενεργοί πελάτες'!AB16/'Παραδοχές διείσδυσης - κάλυψης'!AF16,0)</f>
        <v>0.72236007719878681</v>
      </c>
      <c r="R16" s="191">
        <f t="shared" si="4"/>
        <v>-0.19396654719235373</v>
      </c>
      <c r="S16" s="236">
        <f>IFERROR('Ενεργοί πελάτες'!AE16/'Παραδοχές διείσδυσης - κάλυψης'!AJ16,0)</f>
        <v>0.72660337143964349</v>
      </c>
      <c r="T16" s="191">
        <f t="shared" si="4"/>
        <v>5.8742092410638044E-3</v>
      </c>
      <c r="U16" s="236">
        <f>IFERROR('Ενεργοί πελάτες'!AH16/'Παραδοχές διείσδυσης - κάλυψης'!AN16,0)</f>
        <v>0.67307692307692313</v>
      </c>
      <c r="V16" s="191">
        <f t="shared" si="4"/>
        <v>-7.3666666666666603E-2</v>
      </c>
      <c r="W16" s="236">
        <f>IFERROR('Ενεργοί πελάτες'!AK16/'Παραδοχές διείσδυσης - κάλυψης'!AR16,0)</f>
        <v>0.65053640721296513</v>
      </c>
      <c r="X16" s="191">
        <f t="shared" si="4"/>
        <v>-3.3488766426451884E-2</v>
      </c>
      <c r="Y16" s="235">
        <f t="shared" si="5"/>
        <v>-7.696592376139022E-2</v>
      </c>
      <c r="AA16" s="333"/>
      <c r="AB16" s="334"/>
      <c r="AC16" s="334"/>
      <c r="AD16" s="334"/>
      <c r="AE16" s="334"/>
      <c r="AF16" s="334"/>
    </row>
    <row r="17" spans="2:32" ht="15" customHeight="1" outlineLevel="1" x14ac:dyDescent="0.25">
      <c r="B17" s="52" t="s">
        <v>286</v>
      </c>
      <c r="C17" s="138" t="s">
        <v>55</v>
      </c>
      <c r="D17" s="235">
        <f>IFERROR('Ενεργοί πελάτες'!E17/'Παραδοχές διείσδυσης - κάλυψης'!D17,0)</f>
        <v>0</v>
      </c>
      <c r="E17" s="236">
        <f>IFERROR('Ενεργοί πελάτες'!G17/'Παραδοχές διείσδυσης - κάλυψης'!H17,0)</f>
        <v>0</v>
      </c>
      <c r="F17" s="191">
        <f t="shared" si="1"/>
        <v>0</v>
      </c>
      <c r="G17" s="236">
        <f>IFERROR('Ενεργοί πελάτες'!J17/'Παραδοχές διείσδυσης - κάλυψης'!L17,0)</f>
        <v>0</v>
      </c>
      <c r="H17" s="191">
        <f t="shared" si="2"/>
        <v>0</v>
      </c>
      <c r="I17" s="236">
        <f>IFERROR('Ενεργοί πελάτες'!M17/'Παραδοχές διείσδυσης - κάλυψης'!P17,0)</f>
        <v>0</v>
      </c>
      <c r="J17" s="191">
        <f t="shared" si="2"/>
        <v>0</v>
      </c>
      <c r="K17" s="236">
        <f>IFERROR('Ενεργοί πελάτες'!S17/'Παραδοχές διείσδυσης - κάλυψης'!X17,0)</f>
        <v>0</v>
      </c>
      <c r="L17" s="191">
        <f t="shared" si="2"/>
        <v>0</v>
      </c>
      <c r="M17" s="237">
        <f t="shared" si="0"/>
        <v>0</v>
      </c>
      <c r="N17" s="55"/>
      <c r="O17" s="236">
        <f>IFERROR('Ενεργοί πελάτες'!Y17/'Παραδοχές διείσδυσης - κάλυψης'!AB17,0)</f>
        <v>0.47404844290657439</v>
      </c>
      <c r="P17" s="191">
        <f t="shared" si="3"/>
        <v>0</v>
      </c>
      <c r="Q17" s="236">
        <f>IFERROR('Ενεργοί πελάτες'!AB17/'Παραδοχές διείσδυσης - κάλυψης'!AF17,0)</f>
        <v>0.7973033207042568</v>
      </c>
      <c r="R17" s="191">
        <f t="shared" si="4"/>
        <v>0.6819026254272279</v>
      </c>
      <c r="S17" s="236">
        <f>IFERROR('Ενεργοί πελάτες'!AE17/'Παραδοχές διείσδυσης - κάλυψης'!AJ17,0)</f>
        <v>0.74808906613492854</v>
      </c>
      <c r="T17" s="191">
        <f t="shared" si="4"/>
        <v>-6.1725886863054059E-2</v>
      </c>
      <c r="U17" s="236">
        <f>IFERROR('Ενεργοί πελάτες'!AH17/'Παραδοχές διείσδυσης - κάλυψης'!AN17,0)</f>
        <v>0.70779040754089273</v>
      </c>
      <c r="V17" s="191">
        <f t="shared" si="4"/>
        <v>-5.3868797738540093E-2</v>
      </c>
      <c r="W17" s="236">
        <f>IFERROR('Ενεργοί πελάτες'!AK17/'Παραδοχές διείσδυσης - κάλυψης'!AR17,0)</f>
        <v>0.67000222921259256</v>
      </c>
      <c r="X17" s="191">
        <f t="shared" si="4"/>
        <v>-5.3388938202185161E-2</v>
      </c>
      <c r="Y17" s="235">
        <f t="shared" si="5"/>
        <v>9.0343605224533885E-2</v>
      </c>
      <c r="AA17" s="333"/>
      <c r="AB17" s="334"/>
      <c r="AC17" s="334"/>
      <c r="AD17" s="334"/>
      <c r="AE17" s="334"/>
      <c r="AF17" s="334"/>
    </row>
    <row r="18" spans="2:32" outlineLevel="1" x14ac:dyDescent="0.25">
      <c r="B18" s="52" t="s">
        <v>287</v>
      </c>
      <c r="C18" s="64" t="s">
        <v>55</v>
      </c>
      <c r="D18" s="235">
        <f>IFERROR('Ενεργοί πελάτες'!E18/'Παραδοχές διείσδυσης - κάλυψης'!D18,0)</f>
        <v>0</v>
      </c>
      <c r="E18" s="236">
        <f>IFERROR('Ενεργοί πελάτες'!G18/'Παραδοχές διείσδυσης - κάλυψης'!H18,0)</f>
        <v>0</v>
      </c>
      <c r="F18" s="191">
        <f>IFERROR((E18-D18)/D18,0)</f>
        <v>0</v>
      </c>
      <c r="G18" s="236">
        <f>IFERROR('Ενεργοί πελάτες'!J18/'Παραδοχές διείσδυσης - κάλυψης'!L18,0)</f>
        <v>0</v>
      </c>
      <c r="H18" s="191">
        <f>IFERROR((G18-E18)/E18,0)</f>
        <v>0</v>
      </c>
      <c r="I18" s="236">
        <f>IFERROR('Ενεργοί πελάτες'!M18/'Παραδοχές διείσδυσης - κάλυψης'!P18,0)</f>
        <v>0</v>
      </c>
      <c r="J18" s="191">
        <f>IFERROR((I18-G18)/G18,0)</f>
        <v>0</v>
      </c>
      <c r="K18" s="236">
        <f>IFERROR('Ενεργοί πελάτες'!S18/'Παραδοχές διείσδυσης - κάλυψης'!X18,0)</f>
        <v>0</v>
      </c>
      <c r="L18" s="191">
        <f>IFERROR((K18-I18)/I18,0)</f>
        <v>0</v>
      </c>
      <c r="M18" s="237">
        <f t="shared" ref="M18:M21" si="6">IFERROR((K18/D18)^(1/4)-1,0)</f>
        <v>0</v>
      </c>
      <c r="O18" s="236">
        <f>IFERROR('Ενεργοί πελάτες'!Y18/'Παραδοχές διείσδυσης - κάλυψης'!AB18,0)</f>
        <v>0</v>
      </c>
      <c r="P18" s="191">
        <f>IFERROR((O18-K18)/K18,0)</f>
        <v>0</v>
      </c>
      <c r="Q18" s="236">
        <f>IFERROR('Ενεργοί πελάτες'!AB18/'Παραδοχές διείσδυσης - κάλυψης'!AF18,0)</f>
        <v>0.60182760025609683</v>
      </c>
      <c r="R18" s="191">
        <f>IFERROR((Q18-O18)/O18,0)</f>
        <v>0</v>
      </c>
      <c r="S18" s="236">
        <f>IFERROR('Ενεργοί πελάτες'!AE18/'Παραδοχές διείσδυσης - κάλυψης'!AJ18,0)</f>
        <v>0.72828578202797756</v>
      </c>
      <c r="T18" s="191">
        <f>IFERROR((S18-Q18)/Q18,0)</f>
        <v>0.2101235997120583</v>
      </c>
      <c r="U18" s="236">
        <f>IFERROR('Ενεργοί πελάτες'!AH18/'Παραδοχές διείσδυσης - κάλυψης'!AN18,0)</f>
        <v>0.76274492153509166</v>
      </c>
      <c r="V18" s="191">
        <f>IFERROR((U18-S18)/S18,0)</f>
        <v>4.7315408809931056E-2</v>
      </c>
      <c r="W18" s="236">
        <f>IFERROR('Ενεργοί πελάτες'!AK18/'Παραδοχές διείσδυσης - κάλυψης'!AR18,0)</f>
        <v>0.74141419315184265</v>
      </c>
      <c r="X18" s="191">
        <f>IFERROR((W18-U18)/U18,0)</f>
        <v>-2.7965742912216356E-2</v>
      </c>
      <c r="Y18" s="235">
        <f>IFERROR((W18/O18)^(1/4)-1,0)</f>
        <v>0</v>
      </c>
      <c r="AA18" s="333"/>
      <c r="AB18" s="334"/>
      <c r="AC18" s="334"/>
      <c r="AD18" s="334"/>
      <c r="AE18" s="334"/>
      <c r="AF18" s="334"/>
    </row>
    <row r="19" spans="2:32" outlineLevel="1" x14ac:dyDescent="0.25">
      <c r="B19" s="52" t="s">
        <v>288</v>
      </c>
      <c r="C19" s="64" t="s">
        <v>55</v>
      </c>
      <c r="D19" s="235">
        <f>IFERROR('Ενεργοί πελάτες'!E19/'Παραδοχές διείσδυσης - κάλυψης'!D19,0)</f>
        <v>0</v>
      </c>
      <c r="E19" s="236">
        <f>IFERROR('Ενεργοί πελάτες'!G19/'Παραδοχές διείσδυσης - κάλυψης'!H19,0)</f>
        <v>0</v>
      </c>
      <c r="F19" s="191">
        <f t="shared" ref="F19:F21" si="7">IFERROR((E19-D19)/D19,0)</f>
        <v>0</v>
      </c>
      <c r="G19" s="236">
        <f>IFERROR('Ενεργοί πελάτες'!J19/'Παραδοχές διείσδυσης - κάλυψης'!L19,0)</f>
        <v>0</v>
      </c>
      <c r="H19" s="191">
        <f t="shared" ref="H19:H21" si="8">IFERROR((G19-E19)/E19,0)</f>
        <v>0</v>
      </c>
      <c r="I19" s="236">
        <f>IFERROR('Ενεργοί πελάτες'!M19/'Παραδοχές διείσδυσης - κάλυψης'!P19,0)</f>
        <v>0</v>
      </c>
      <c r="J19" s="191">
        <f t="shared" ref="J19:J21" si="9">IFERROR((I19-G19)/G19,0)</f>
        <v>0</v>
      </c>
      <c r="K19" s="236">
        <f>IFERROR('Ενεργοί πελάτες'!S19/'Παραδοχές διείσδυσης - κάλυψης'!X19,0)</f>
        <v>0</v>
      </c>
      <c r="L19" s="191">
        <f t="shared" ref="L19:L21" si="10">IFERROR((K19-I19)/I19,0)</f>
        <v>0</v>
      </c>
      <c r="M19" s="237">
        <f t="shared" si="6"/>
        <v>0</v>
      </c>
      <c r="N19" s="55"/>
      <c r="O19" s="236">
        <f>IFERROR('Ενεργοί πελάτες'!Y19/'Παραδοχές διείσδυσης - κάλυψης'!AB19,0)</f>
        <v>0.59616599957868122</v>
      </c>
      <c r="P19" s="191">
        <f t="shared" ref="P19:P21" si="11">IFERROR((O19-K19)/K19,0)</f>
        <v>0</v>
      </c>
      <c r="Q19" s="236">
        <f>IFERROR('Ενεργοί πελάτες'!AB19/'Παραδοχές διείσδυσης - κάλυψης'!AF19,0)</f>
        <v>0.68700683850604949</v>
      </c>
      <c r="R19" s="191">
        <f t="shared" ref="R19:R21" si="12">IFERROR((Q19-O19)/O19,0)</f>
        <v>0.15237507504884001</v>
      </c>
      <c r="S19" s="236">
        <f>IFERROR('Ενεργοί πελάτες'!AE19/'Παραδοχές διείσδυσης - κάλυψης'!AJ19,0)</f>
        <v>0.72098523774569778</v>
      </c>
      <c r="T19" s="191">
        <f t="shared" ref="T19:T21" si="13">IFERROR((S19-Q19)/Q19,0)</f>
        <v>4.9458604099978105E-2</v>
      </c>
      <c r="U19" s="236">
        <f>IFERROR('Ενεργοί πελάτες'!AH19/'Παραδοχές διείσδυσης - κάλυψης'!AN19,0)</f>
        <v>0.66442829416181448</v>
      </c>
      <c r="V19" s="191">
        <f t="shared" ref="V19:V21" si="14">IFERROR((U19-S19)/S19,0)</f>
        <v>-7.8443968923302382E-2</v>
      </c>
      <c r="W19" s="236">
        <f>IFERROR('Ενεργοί πελάτες'!AK19/'Παραδοχές διείσδυσης - κάλυψης'!AR19,0)</f>
        <v>0.64776403936257332</v>
      </c>
      <c r="X19" s="191">
        <f t="shared" ref="X19:X21" si="15">IFERROR((W19-U19)/U19,0)</f>
        <v>-2.5080591759361108E-2</v>
      </c>
      <c r="Y19" s="235">
        <f t="shared" ref="Y19:Y21" si="16">IFERROR((W19/O19)^(1/4)-1,0)</f>
        <v>2.0968652068385607E-2</v>
      </c>
      <c r="AA19" s="333"/>
      <c r="AB19" s="334"/>
      <c r="AC19" s="334"/>
      <c r="AD19" s="334"/>
      <c r="AE19" s="334"/>
      <c r="AF19" s="334"/>
    </row>
    <row r="20" spans="2:32" outlineLevel="1" x14ac:dyDescent="0.25">
      <c r="B20" s="52" t="s">
        <v>289</v>
      </c>
      <c r="C20" s="64" t="s">
        <v>55</v>
      </c>
      <c r="D20" s="235">
        <f>IFERROR('Ενεργοί πελάτες'!E20/'Παραδοχές διείσδυσης - κάλυψης'!D20,0)</f>
        <v>0</v>
      </c>
      <c r="E20" s="236">
        <f>IFERROR('Ενεργοί πελάτες'!G20/'Παραδοχές διείσδυσης - κάλυψης'!H20,0)</f>
        <v>0</v>
      </c>
      <c r="F20" s="191">
        <f t="shared" si="7"/>
        <v>0</v>
      </c>
      <c r="G20" s="236">
        <f>IFERROR('Ενεργοί πελάτες'!J20/'Παραδοχές διείσδυσης - κάλυψης'!L20,0)</f>
        <v>0</v>
      </c>
      <c r="H20" s="191">
        <f t="shared" si="8"/>
        <v>0</v>
      </c>
      <c r="I20" s="236">
        <f>IFERROR('Ενεργοί πελάτες'!M20/'Παραδοχές διείσδυσης - κάλυψης'!P20,0)</f>
        <v>0</v>
      </c>
      <c r="J20" s="191">
        <f t="shared" si="9"/>
        <v>0</v>
      </c>
      <c r="K20" s="236">
        <f>IFERROR('Ενεργοί πελάτες'!S20/'Παραδοχές διείσδυσης - κάλυψης'!X20,0)</f>
        <v>0</v>
      </c>
      <c r="L20" s="191">
        <f t="shared" si="10"/>
        <v>0</v>
      </c>
      <c r="M20" s="237">
        <f t="shared" si="6"/>
        <v>0</v>
      </c>
      <c r="O20" s="236">
        <f>IFERROR('Ενεργοί πελάτες'!Y20/'Παραδοχές διείσδυσης - κάλυψης'!AB20,0)</f>
        <v>0.46416666666666667</v>
      </c>
      <c r="P20" s="191">
        <f t="shared" si="11"/>
        <v>0</v>
      </c>
      <c r="Q20" s="236">
        <f>IFERROR('Ενεργοί πελάτες'!AB20/'Παραδοχές διείσδυσης - κάλυψης'!AF20,0)</f>
        <v>0.82288487700849366</v>
      </c>
      <c r="R20" s="191">
        <f t="shared" si="12"/>
        <v>0.77282199714576727</v>
      </c>
      <c r="S20" s="236">
        <f>IFERROR('Ενεργοί πελάτες'!AE20/'Παραδοχές διείσδυσης - κάλυψης'!AJ20,0)</f>
        <v>0.72781155346364224</v>
      </c>
      <c r="T20" s="191">
        <f t="shared" si="13"/>
        <v>-0.11553660323723522</v>
      </c>
      <c r="U20" s="236">
        <f>IFERROR('Ενεργοί πελάτες'!AH20/'Παραδοχές διείσδυσης - κάλυψης'!AN20,0)</f>
        <v>0.7695661272321429</v>
      </c>
      <c r="V20" s="191">
        <f t="shared" si="14"/>
        <v>5.7370034275756404E-2</v>
      </c>
      <c r="W20" s="236">
        <f>IFERROR('Ενεργοί πελάτες'!AK20/'Παραδοχές διείσδυσης - κάλυψης'!AR20,0)</f>
        <v>0.73920315393345681</v>
      </c>
      <c r="X20" s="191">
        <f t="shared" si="15"/>
        <v>-3.9454664419665879E-2</v>
      </c>
      <c r="Y20" s="235">
        <f t="shared" si="16"/>
        <v>0.12336907867349045</v>
      </c>
      <c r="AA20" s="333"/>
      <c r="AB20" s="334"/>
      <c r="AC20" s="334"/>
      <c r="AD20" s="334"/>
      <c r="AE20" s="334"/>
      <c r="AF20" s="334"/>
    </row>
    <row r="21" spans="2:32" ht="15" customHeight="1" outlineLevel="1" x14ac:dyDescent="0.25">
      <c r="B21" s="52" t="s">
        <v>290</v>
      </c>
      <c r="C21" s="138" t="s">
        <v>55</v>
      </c>
      <c r="D21" s="235">
        <f>IFERROR('Ενεργοί πελάτες'!E21/'Παραδοχές διείσδυσης - κάλυψης'!D21,0)</f>
        <v>0</v>
      </c>
      <c r="E21" s="236">
        <f>IFERROR('Ενεργοί πελάτες'!G21/'Παραδοχές διείσδυσης - κάλυψης'!H21,0)</f>
        <v>0</v>
      </c>
      <c r="F21" s="191">
        <f t="shared" si="7"/>
        <v>0</v>
      </c>
      <c r="G21" s="236">
        <f>IFERROR('Ενεργοί πελάτες'!J21/'Παραδοχές διείσδυσης - κάλυψης'!L21,0)</f>
        <v>0</v>
      </c>
      <c r="H21" s="191">
        <f t="shared" si="8"/>
        <v>0</v>
      </c>
      <c r="I21" s="236">
        <f>IFERROR('Ενεργοί πελάτες'!M21/'Παραδοχές διείσδυσης - κάλυψης'!P21,0)</f>
        <v>0</v>
      </c>
      <c r="J21" s="191">
        <f t="shared" si="9"/>
        <v>0</v>
      </c>
      <c r="K21" s="236">
        <f>IFERROR('Ενεργοί πελάτες'!S21/'Παραδοχές διείσδυσης - κάλυψης'!X21,0)</f>
        <v>0</v>
      </c>
      <c r="L21" s="191">
        <f t="shared" si="10"/>
        <v>0</v>
      </c>
      <c r="M21" s="237">
        <f t="shared" si="6"/>
        <v>0</v>
      </c>
      <c r="N21" s="55"/>
      <c r="O21" s="236">
        <f>IFERROR('Ενεργοί πελάτες'!Y21/'Παραδοχές διείσδυσης - κάλυψης'!AB21,0)</f>
        <v>0.33704292527821939</v>
      </c>
      <c r="P21" s="191">
        <f t="shared" si="11"/>
        <v>0</v>
      </c>
      <c r="Q21" s="236">
        <f>IFERROR('Ενεργοί πελάτες'!AB21/'Παραδοχές διείσδυσης - κάλυψης'!AF21,0)</f>
        <v>0.7093551632037185</v>
      </c>
      <c r="R21" s="191">
        <f t="shared" si="12"/>
        <v>1.1046433851657498</v>
      </c>
      <c r="S21" s="236">
        <f>IFERROR('Ενεργοί πελάτες'!AE21/'Παραδοχές διείσδυσης - κάλυψης'!AJ21,0)</f>
        <v>0.7326815704102575</v>
      </c>
      <c r="T21" s="191">
        <f t="shared" si="13"/>
        <v>3.2883960555369823E-2</v>
      </c>
      <c r="U21" s="236">
        <f>IFERROR('Ενεργοί πελάτες'!AH21/'Παραδοχές διείσδυσης - κάλυψης'!AN21,0)</f>
        <v>0.74259935117599352</v>
      </c>
      <c r="V21" s="191">
        <f t="shared" si="14"/>
        <v>1.3536277103548077E-2</v>
      </c>
      <c r="W21" s="236">
        <f>IFERROR('Ενεργοί πελάτες'!AK21/'Παραδοχές διείσδυσης - κάλυψης'!AR21,0)</f>
        <v>0.71681878960525558</v>
      </c>
      <c r="X21" s="191">
        <f t="shared" si="15"/>
        <v>-3.471664973839713E-2</v>
      </c>
      <c r="Y21" s="235">
        <f t="shared" si="16"/>
        <v>0.20762206973720243</v>
      </c>
      <c r="AA21" s="333"/>
      <c r="AB21" s="334"/>
      <c r="AC21" s="334"/>
      <c r="AD21" s="334"/>
      <c r="AE21" s="334"/>
      <c r="AF21" s="334"/>
    </row>
    <row r="22" spans="2:32" ht="15" customHeight="1" outlineLevel="1" x14ac:dyDescent="0.25">
      <c r="B22" s="52" t="s">
        <v>291</v>
      </c>
      <c r="C22" s="138" t="s">
        <v>55</v>
      </c>
      <c r="D22" s="235">
        <f>IFERROR('Ενεργοί πελάτες'!E22/'Παραδοχές διείσδυσης - κάλυψης'!D22,0)</f>
        <v>0</v>
      </c>
      <c r="E22" s="236">
        <f>IFERROR('Ενεργοί πελάτες'!G22/'Παραδοχές διείσδυσης - κάλυψης'!H22,0)</f>
        <v>0</v>
      </c>
      <c r="F22" s="191">
        <f t="shared" ref="F22:F28" si="17">IFERROR((E22-D22)/D22,0)</f>
        <v>0</v>
      </c>
      <c r="G22" s="236">
        <f>IFERROR('Ενεργοί πελάτες'!J22/'Παραδοχές διείσδυσης - κάλυψης'!L22,0)</f>
        <v>0</v>
      </c>
      <c r="H22" s="191">
        <f t="shared" ref="H22:H28" si="18">IFERROR((G22-E22)/E22,0)</f>
        <v>0</v>
      </c>
      <c r="I22" s="236">
        <f>IFERROR('Ενεργοί πελάτες'!M22/'Παραδοχές διείσδυσης - κάλυψης'!P22,0)</f>
        <v>0</v>
      </c>
      <c r="J22" s="191">
        <f t="shared" ref="J22:J28" si="19">IFERROR((I22-G22)/G22,0)</f>
        <v>0</v>
      </c>
      <c r="K22" s="236">
        <f>IFERROR('Ενεργοί πελάτες'!S22/'Παραδοχές διείσδυσης - κάλυψης'!X22,0)</f>
        <v>0</v>
      </c>
      <c r="L22" s="191">
        <f t="shared" ref="L22:L28" si="20">IFERROR((K22-I22)/I22,0)</f>
        <v>0</v>
      </c>
      <c r="M22" s="237">
        <f t="shared" ref="M22:M28" si="21">IFERROR((K22/D22)^(1/4)-1,0)</f>
        <v>0</v>
      </c>
      <c r="N22" s="55"/>
      <c r="O22" s="236">
        <f>IFERROR('Ενεργοί πελάτες'!Y22/'Παραδοχές διείσδυσης - κάλυψης'!AB22,0)</f>
        <v>0.67143768802990245</v>
      </c>
      <c r="P22" s="191">
        <f t="shared" ref="P22" si="22">IFERROR((O22-K22)/K22,0)</f>
        <v>0</v>
      </c>
      <c r="Q22" s="236">
        <f>IFERROR('Ενεργοί πελάτες'!AB22/'Παραδοχές διείσδυσης - κάλυψης'!AF22,0)</f>
        <v>0.64436479490242926</v>
      </c>
      <c r="R22" s="191">
        <f t="shared" ref="R22" si="23">IFERROR((Q22-O22)/O22,0)</f>
        <v>-4.0320782717617569E-2</v>
      </c>
      <c r="S22" s="236">
        <f>IFERROR('Ενεργοί πελάτες'!AE22/'Παραδοχές διείσδυσης - κάλυψης'!AJ22,0)</f>
        <v>0.60468521229868233</v>
      </c>
      <c r="T22" s="191">
        <f t="shared" ref="T22" si="24">IFERROR((S22-Q22)/Q22,0)</f>
        <v>-6.1579376957978091E-2</v>
      </c>
      <c r="U22" s="236">
        <f>IFERROR('Ενεργοί πελάτες'!AH22/'Παραδοχές διείσδυσης - κάλυψης'!AN22,0)</f>
        <v>0.60700108264164565</v>
      </c>
      <c r="V22" s="191">
        <f t="shared" ref="V22" si="25">IFERROR((U22-S22)/S22,0)</f>
        <v>3.829877588968399E-3</v>
      </c>
      <c r="W22" s="236">
        <f>IFERROR('Ενεργοί πελάτες'!AK22/'Παραδοχές διείσδυσης - κάλυψης'!AR22,0)</f>
        <v>0.60457516339869288</v>
      </c>
      <c r="X22" s="191">
        <f t="shared" ref="X22" si="26">IFERROR((W22-U22)/U22,0)</f>
        <v>-3.9965649359227813E-3</v>
      </c>
      <c r="Y22" s="235">
        <f t="shared" ref="Y22" si="27">IFERROR((W22/O22)^(1/4)-1,0)</f>
        <v>-2.5882945682584091E-2</v>
      </c>
      <c r="AA22" s="333"/>
      <c r="AB22" s="334"/>
      <c r="AC22" s="334"/>
      <c r="AD22" s="334"/>
      <c r="AE22" s="334"/>
      <c r="AF22" s="334"/>
    </row>
    <row r="23" spans="2:32" ht="15" customHeight="1" outlineLevel="1" x14ac:dyDescent="0.25">
      <c r="B23" s="52" t="s">
        <v>307</v>
      </c>
      <c r="C23" s="138" t="s">
        <v>55</v>
      </c>
      <c r="D23" s="235">
        <f>IFERROR('Ενεργοί πελάτες'!E23/'Παραδοχές διείσδυσης - κάλυψης'!D23,0)</f>
        <v>0</v>
      </c>
      <c r="E23" s="236">
        <f>IFERROR('Ενεργοί πελάτες'!G23/'Παραδοχές διείσδυσης - κάλυψης'!H23,0)</f>
        <v>0</v>
      </c>
      <c r="F23" s="191">
        <f t="shared" si="17"/>
        <v>0</v>
      </c>
      <c r="G23" s="236">
        <f>IFERROR('Ενεργοί πελάτες'!J23/'Παραδοχές διείσδυσης - κάλυψης'!L23,0)</f>
        <v>0</v>
      </c>
      <c r="H23" s="191">
        <f t="shared" si="18"/>
        <v>0</v>
      </c>
      <c r="I23" s="236">
        <f>IFERROR('Ενεργοί πελάτες'!M23/'Παραδοχές διείσδυσης - κάλυψης'!P23,0)</f>
        <v>0</v>
      </c>
      <c r="J23" s="191">
        <f t="shared" si="19"/>
        <v>0</v>
      </c>
      <c r="K23" s="236">
        <f>IFERROR('Ενεργοί πελάτες'!S23/'Παραδοχές διείσδυσης - κάλυψης'!X23,0)</f>
        <v>0</v>
      </c>
      <c r="L23" s="191">
        <f t="shared" si="20"/>
        <v>0</v>
      </c>
      <c r="M23" s="237">
        <f t="shared" si="21"/>
        <v>0</v>
      </c>
      <c r="N23" s="55"/>
      <c r="O23" s="236">
        <f>IFERROR('Ενεργοί πελάτες'!Y23/'Παραδοχές διείσδυσης - κάλυψης'!AB23,0)</f>
        <v>0.18040772145047806</v>
      </c>
      <c r="P23" s="191"/>
      <c r="Q23" s="236">
        <f>IFERROR('Ενεργοί πελάτες'!AB23/'Παραδοχές διείσδυσης - κάλυψης'!AF23,0)</f>
        <v>0.17934994106267657</v>
      </c>
      <c r="R23" s="191"/>
      <c r="S23" s="236">
        <f>IFERROR('Ενεργοί πελάτες'!AE23/'Παραδοχές διείσδυσης - κάλυψης'!AJ23,0)</f>
        <v>0.21105951878429716</v>
      </c>
      <c r="T23" s="191"/>
      <c r="U23" s="236">
        <f>IFERROR('Ενεργοί πελάτες'!AH23/'Παραδοχές διείσδυσης - κάλυψης'!AN23,0)</f>
        <v>0.2215805618452121</v>
      </c>
      <c r="V23" s="191"/>
      <c r="W23" s="236">
        <f>IFERROR('Ενεργοί πελάτες'!AK23/'Παραδοχές διείσδυσης - κάλυψης'!AR23,0)</f>
        <v>0.23687403308533247</v>
      </c>
      <c r="X23" s="191"/>
      <c r="Y23" s="235"/>
      <c r="AA23" s="333"/>
      <c r="AB23" s="334"/>
      <c r="AC23" s="334"/>
      <c r="AD23" s="334"/>
      <c r="AE23" s="334"/>
      <c r="AF23" s="334"/>
    </row>
    <row r="24" spans="2:32" ht="15" customHeight="1" outlineLevel="1" x14ac:dyDescent="0.25">
      <c r="B24" s="52" t="s">
        <v>304</v>
      </c>
      <c r="C24" s="138" t="s">
        <v>55</v>
      </c>
      <c r="D24" s="235">
        <f>IFERROR('Ενεργοί πελάτες'!E24/'Παραδοχές διείσδυσης - κάλυψης'!D24,0)</f>
        <v>0</v>
      </c>
      <c r="E24" s="236">
        <f>IFERROR('Ενεργοί πελάτες'!G24/'Παραδοχές διείσδυσης - κάλυψης'!H24,0)</f>
        <v>0</v>
      </c>
      <c r="F24" s="191">
        <f t="shared" si="17"/>
        <v>0</v>
      </c>
      <c r="G24" s="236">
        <f>IFERROR('Ενεργοί πελάτες'!J24/'Παραδοχές διείσδυσης - κάλυψης'!L24,0)</f>
        <v>0</v>
      </c>
      <c r="H24" s="191">
        <f t="shared" si="18"/>
        <v>0</v>
      </c>
      <c r="I24" s="236">
        <f>IFERROR('Ενεργοί πελάτες'!M24/'Παραδοχές διείσδυσης - κάλυψης'!P24,0)</f>
        <v>0</v>
      </c>
      <c r="J24" s="191">
        <f t="shared" si="19"/>
        <v>0</v>
      </c>
      <c r="K24" s="236">
        <f>IFERROR('Ενεργοί πελάτες'!S24/'Παραδοχές διείσδυσης - κάλυψης'!X24,0)</f>
        <v>0</v>
      </c>
      <c r="L24" s="191">
        <f t="shared" si="20"/>
        <v>0</v>
      </c>
      <c r="M24" s="237">
        <f t="shared" si="21"/>
        <v>0</v>
      </c>
      <c r="N24" s="55"/>
      <c r="O24" s="236">
        <f>IFERROR('Ενεργοί πελάτες'!Y24/'Παραδοχές διείσδυσης - κάλυψης'!AB24,0)</f>
        <v>0.38196686034000432</v>
      </c>
      <c r="P24" s="191"/>
      <c r="Q24" s="236">
        <f>IFERROR('Ενεργοί πελάτες'!AB24/'Παραδοχές διείσδυσης - κάλυψης'!AF24,0)</f>
        <v>0.23170252204684605</v>
      </c>
      <c r="R24" s="191"/>
      <c r="S24" s="236">
        <f>IFERROR('Ενεργοί πελάτες'!AE24/'Παραδοχές διείσδυσης - κάλυψης'!AJ24,0)</f>
        <v>0.29579131218660204</v>
      </c>
      <c r="T24" s="191"/>
      <c r="U24" s="236">
        <f>IFERROR('Ενεργοί πελάτες'!AH24/'Παραδοχές διείσδυσης - κάλυψης'!AN24,0)</f>
        <v>0.30143357108743141</v>
      </c>
      <c r="V24" s="191"/>
      <c r="W24" s="236">
        <f>IFERROR('Ενεργοί πελάτες'!AK24/'Παραδοχές διείσδυσης - κάλυψης'!AR24,0)</f>
        <v>0.31237516689399036</v>
      </c>
      <c r="X24" s="191"/>
      <c r="Y24" s="235"/>
      <c r="AA24" s="333"/>
      <c r="AB24" s="334"/>
      <c r="AC24" s="334"/>
      <c r="AD24" s="334"/>
      <c r="AE24" s="334"/>
      <c r="AF24" s="334"/>
    </row>
    <row r="25" spans="2:32" ht="15" customHeight="1" outlineLevel="1" x14ac:dyDescent="0.25">
      <c r="B25" s="52" t="s">
        <v>305</v>
      </c>
      <c r="C25" s="138" t="s">
        <v>55</v>
      </c>
      <c r="D25" s="235">
        <f>IFERROR('Ενεργοί πελάτες'!E25/'Παραδοχές διείσδυσης - κάλυψης'!D25,0)</f>
        <v>0</v>
      </c>
      <c r="E25" s="236">
        <f>IFERROR('Ενεργοί πελάτες'!G25/'Παραδοχές διείσδυσης - κάλυψης'!H25,0)</f>
        <v>0</v>
      </c>
      <c r="F25" s="191">
        <f t="shared" si="17"/>
        <v>0</v>
      </c>
      <c r="G25" s="236">
        <f>IFERROR('Ενεργοί πελάτες'!J25/'Παραδοχές διείσδυσης - κάλυψης'!L25,0)</f>
        <v>0</v>
      </c>
      <c r="H25" s="191">
        <f t="shared" si="18"/>
        <v>0</v>
      </c>
      <c r="I25" s="236">
        <f>IFERROR('Ενεργοί πελάτες'!M25/'Παραδοχές διείσδυσης - κάλυψης'!P25,0)</f>
        <v>0</v>
      </c>
      <c r="J25" s="191">
        <f t="shared" si="19"/>
        <v>0</v>
      </c>
      <c r="K25" s="236">
        <f>IFERROR('Ενεργοί πελάτες'!S25/'Παραδοχές διείσδυσης - κάλυψης'!X25,0)</f>
        <v>0</v>
      </c>
      <c r="L25" s="191">
        <f t="shared" si="20"/>
        <v>0</v>
      </c>
      <c r="M25" s="237">
        <f t="shared" si="21"/>
        <v>0</v>
      </c>
      <c r="N25" s="55"/>
      <c r="O25" s="236">
        <f>IFERROR('Ενεργοί πελάτες'!Y25/'Παραδοχές διείσδυσης - κάλυψης'!AB25,0)</f>
        <v>0.17151187719749594</v>
      </c>
      <c r="P25" s="191"/>
      <c r="Q25" s="236">
        <f>IFERROR('Ενεργοί πελάτες'!AB25/'Παραδοχές διείσδυσης - κάλυψης'!AF25,0)</f>
        <v>0.23705108450871162</v>
      </c>
      <c r="R25" s="191"/>
      <c r="S25" s="236">
        <f>IFERROR('Ενεργοί πελάτες'!AE25/'Παραδοχές διείσδυσης - κάλυψης'!AJ25,0)</f>
        <v>0.34071211173015603</v>
      </c>
      <c r="T25" s="191"/>
      <c r="U25" s="236">
        <f>IFERROR('Ενεργοί πελάτες'!AH25/'Παραδοχές διείσδυσης - κάλυψης'!AN25,0)</f>
        <v>0.37131521223414865</v>
      </c>
      <c r="V25" s="191"/>
      <c r="W25" s="236">
        <f>IFERROR('Ενεργοί πελάτες'!AK25/'Παραδοχές διείσδυσης - κάλυψης'!AR25,0)</f>
        <v>0.40216222520380829</v>
      </c>
      <c r="X25" s="191"/>
      <c r="Y25" s="235"/>
      <c r="AA25" s="333"/>
      <c r="AB25" s="334"/>
      <c r="AC25" s="334"/>
      <c r="AD25" s="334"/>
      <c r="AE25" s="334"/>
      <c r="AF25" s="334"/>
    </row>
    <row r="26" spans="2:32" ht="15" customHeight="1" outlineLevel="1" x14ac:dyDescent="0.25">
      <c r="B26" s="52" t="s">
        <v>306</v>
      </c>
      <c r="C26" s="138" t="s">
        <v>55</v>
      </c>
      <c r="D26" s="235">
        <f>IFERROR('Ενεργοί πελάτες'!E26/'Παραδοχές διείσδυσης - κάλυψης'!D26,0)</f>
        <v>0</v>
      </c>
      <c r="E26" s="236">
        <f>IFERROR('Ενεργοί πελάτες'!G26/'Παραδοχές διείσδυσης - κάλυψης'!H26,0)</f>
        <v>0</v>
      </c>
      <c r="F26" s="191">
        <f t="shared" si="17"/>
        <v>0</v>
      </c>
      <c r="G26" s="236">
        <f>IFERROR('Ενεργοί πελάτες'!J26/'Παραδοχές διείσδυσης - κάλυψης'!L26,0)</f>
        <v>0</v>
      </c>
      <c r="H26" s="191">
        <f t="shared" si="18"/>
        <v>0</v>
      </c>
      <c r="I26" s="236">
        <f>IFERROR('Ενεργοί πελάτες'!M26/'Παραδοχές διείσδυσης - κάλυψης'!P26,0)</f>
        <v>0</v>
      </c>
      <c r="J26" s="191">
        <f t="shared" si="19"/>
        <v>0</v>
      </c>
      <c r="K26" s="236">
        <f>IFERROR('Ενεργοί πελάτες'!S26/'Παραδοχές διείσδυσης - κάλυψης'!X26,0)</f>
        <v>0</v>
      </c>
      <c r="L26" s="191">
        <f t="shared" si="20"/>
        <v>0</v>
      </c>
      <c r="M26" s="237">
        <f t="shared" si="21"/>
        <v>0</v>
      </c>
      <c r="N26" s="55"/>
      <c r="O26" s="236">
        <f>IFERROR('Ενεργοί πελάτες'!Y26/'Παραδοχές διείσδυσης - κάλυψης'!AB26,0)</f>
        <v>0.48436114980372291</v>
      </c>
      <c r="P26" s="191"/>
      <c r="Q26" s="236">
        <f>IFERROR('Ενεργοί πελάτες'!AB26/'Παραδοχές διείσδυσης - κάλυψης'!AF26,0)</f>
        <v>0.49245921822099104</v>
      </c>
      <c r="R26" s="191"/>
      <c r="S26" s="236">
        <f>IFERROR('Ενεργοί πελάτες'!AE26/'Παραδοχές διείσδυσης - κάλυψης'!AJ26,0)</f>
        <v>0.62029449386422442</v>
      </c>
      <c r="T26" s="191"/>
      <c r="U26" s="236">
        <f>IFERROR('Ενεργοί πελάτες'!AH26/'Παραδοχές διείσδυσης - κάλυψης'!AN26,0)</f>
        <v>0.73792359652608275</v>
      </c>
      <c r="V26" s="191"/>
      <c r="W26" s="236">
        <f>IFERROR('Ενεργοί πελάτες'!AK26/'Παραδοχές διείσδυσης - κάλυψης'!AR26,0)</f>
        <v>0.80566571144624222</v>
      </c>
      <c r="X26" s="191"/>
      <c r="Y26" s="235"/>
      <c r="AA26" s="333"/>
      <c r="AB26" s="334"/>
      <c r="AC26" s="334"/>
      <c r="AD26" s="334"/>
      <c r="AE26" s="334"/>
      <c r="AF26" s="334"/>
    </row>
    <row r="27" spans="2:32" ht="15" customHeight="1" outlineLevel="1" x14ac:dyDescent="0.25">
      <c r="B27" s="52" t="s">
        <v>308</v>
      </c>
      <c r="C27" s="138" t="s">
        <v>55</v>
      </c>
      <c r="D27" s="235">
        <f>IFERROR('Ενεργοί πελάτες'!E27/'Παραδοχές διείσδυσης - κάλυψης'!D27,0)</f>
        <v>0</v>
      </c>
      <c r="E27" s="236">
        <f>IFERROR('Ενεργοί πελάτες'!G27/'Παραδοχές διείσδυσης - κάλυψης'!H27,0)</f>
        <v>0</v>
      </c>
      <c r="F27" s="191">
        <f t="shared" si="17"/>
        <v>0</v>
      </c>
      <c r="G27" s="236">
        <f>IFERROR('Ενεργοί πελάτες'!J27/'Παραδοχές διείσδυσης - κάλυψης'!L27,0)</f>
        <v>0</v>
      </c>
      <c r="H27" s="191">
        <f t="shared" si="18"/>
        <v>0</v>
      </c>
      <c r="I27" s="236">
        <f>IFERROR('Ενεργοί πελάτες'!M27/'Παραδοχές διείσδυσης - κάλυψης'!P27,0)</f>
        <v>0</v>
      </c>
      <c r="J27" s="191">
        <f t="shared" si="19"/>
        <v>0</v>
      </c>
      <c r="K27" s="236">
        <f>IFERROR('Ενεργοί πελάτες'!S27/'Παραδοχές διείσδυσης - κάλυψης'!X27,0)</f>
        <v>0</v>
      </c>
      <c r="L27" s="191">
        <f t="shared" si="20"/>
        <v>0</v>
      </c>
      <c r="M27" s="237">
        <f t="shared" si="21"/>
        <v>0</v>
      </c>
      <c r="N27" s="55"/>
      <c r="O27" s="236">
        <f>IFERROR('Ενεργοί πελάτες'!Y27/'Παραδοχές διείσδυσης - κάλυψης'!AB27,0)</f>
        <v>0.36969696969696969</v>
      </c>
      <c r="P27" s="191"/>
      <c r="Q27" s="236">
        <f>IFERROR('Ενεργοί πελάτες'!AB27/'Παραδοχές διείσδυσης - κάλυψης'!AF27,0)</f>
        <v>0.42058823529411765</v>
      </c>
      <c r="R27" s="191"/>
      <c r="S27" s="236">
        <f>IFERROR('Ενεργοί πελάτες'!AE27/'Παραδοχές διείσδυσης - κάλυψης'!AJ27,0)</f>
        <v>0.54025161931801857</v>
      </c>
      <c r="T27" s="191"/>
      <c r="U27" s="236">
        <f>IFERROR('Ενεργοί πελάτες'!AH27/'Παραδοχές διείσδυσης - κάλυψης'!AN27,0)</f>
        <v>0.6360536043889744</v>
      </c>
      <c r="V27" s="191"/>
      <c r="W27" s="236">
        <f>IFERROR('Ενεργοί πελάτες'!AK27/'Παραδοχές διείσδυσης - κάλυψης'!AR27,0)</f>
        <v>0.71768136688316397</v>
      </c>
      <c r="X27" s="191"/>
      <c r="Y27" s="235"/>
      <c r="AA27" s="333"/>
      <c r="AB27" s="334"/>
      <c r="AC27" s="334"/>
      <c r="AD27" s="334"/>
      <c r="AE27" s="334"/>
      <c r="AF27" s="334"/>
    </row>
    <row r="28" spans="2:32" ht="15" customHeight="1" outlineLevel="1" x14ac:dyDescent="0.25">
      <c r="B28" s="52"/>
      <c r="C28" s="138"/>
      <c r="D28" s="235">
        <f>IFERROR('Ενεργοί πελάτες'!E28/'Παραδοχές διείσδυσης - κάλυψης'!D28,0)</f>
        <v>0</v>
      </c>
      <c r="E28" s="236">
        <f>IFERROR('Ενεργοί πελάτες'!G28/'Παραδοχές διείσδυσης - κάλυψης'!H28,0)</f>
        <v>0</v>
      </c>
      <c r="F28" s="191">
        <f t="shared" si="17"/>
        <v>0</v>
      </c>
      <c r="G28" s="236">
        <f>IFERROR('Ενεργοί πελάτες'!J28/'Παραδοχές διείσδυσης - κάλυψης'!L28,0)</f>
        <v>0</v>
      </c>
      <c r="H28" s="191">
        <f t="shared" si="18"/>
        <v>0</v>
      </c>
      <c r="I28" s="236">
        <f>IFERROR('Ενεργοί πελάτες'!M28/'Παραδοχές διείσδυσης - κάλυψης'!P28,0)</f>
        <v>0</v>
      </c>
      <c r="J28" s="191">
        <f t="shared" si="19"/>
        <v>0</v>
      </c>
      <c r="K28" s="236">
        <f>IFERROR('Ενεργοί πελάτες'!S28/'Παραδοχές διείσδυσης - κάλυψης'!X28,0)</f>
        <v>0</v>
      </c>
      <c r="L28" s="191">
        <f t="shared" si="20"/>
        <v>0</v>
      </c>
      <c r="M28" s="237">
        <f t="shared" si="21"/>
        <v>0</v>
      </c>
      <c r="N28" s="55"/>
      <c r="O28" s="236">
        <f>IFERROR('Ενεργοί πελάτες'!Y28/'Παραδοχές διείσδυσης - κάλυψης'!AB28,0)</f>
        <v>0</v>
      </c>
      <c r="P28" s="191"/>
      <c r="Q28" s="236">
        <f>IFERROR('Ενεργοί πελάτες'!AB28/'Παραδοχές διείσδυσης - κάλυψης'!AF28,0)</f>
        <v>0</v>
      </c>
      <c r="R28" s="191"/>
      <c r="S28" s="236">
        <f>IFERROR('Ενεργοί πελάτες'!AE28/'Παραδοχές διείσδυσης - κάλυψης'!AJ28,0)</f>
        <v>0</v>
      </c>
      <c r="T28" s="191"/>
      <c r="U28" s="236">
        <f>IFERROR('Ενεργοί πελάτες'!AH28/'Παραδοχές διείσδυσης - κάλυψης'!AN28,0)</f>
        <v>0</v>
      </c>
      <c r="V28" s="191"/>
      <c r="W28" s="236">
        <f>IFERROR('Ενεργοί πελάτες'!AK28/'Παραδοχές διείσδυσης - κάλυψης'!AR28,0)</f>
        <v>0</v>
      </c>
      <c r="X28" s="191"/>
      <c r="Y28" s="235"/>
      <c r="AA28" s="333"/>
      <c r="AB28" s="334"/>
      <c r="AC28" s="334"/>
      <c r="AD28" s="334"/>
      <c r="AE28" s="334"/>
      <c r="AF28" s="334"/>
    </row>
    <row r="29" spans="2:32" ht="15" customHeight="1" outlineLevel="1" x14ac:dyDescent="0.25">
      <c r="B29" s="437" t="s">
        <v>90</v>
      </c>
      <c r="C29" s="438"/>
      <c r="D29" s="438"/>
      <c r="E29" s="438"/>
      <c r="F29" s="438"/>
      <c r="G29" s="438"/>
      <c r="H29" s="438"/>
      <c r="I29" s="438"/>
      <c r="J29" s="438"/>
      <c r="K29" s="438"/>
      <c r="L29" s="438"/>
      <c r="M29" s="438"/>
      <c r="N29" s="438"/>
      <c r="O29" s="438"/>
      <c r="P29" s="438"/>
      <c r="Q29" s="438"/>
      <c r="R29" s="438"/>
      <c r="S29" s="438"/>
      <c r="T29" s="438"/>
      <c r="U29" s="438"/>
      <c r="V29" s="438"/>
      <c r="W29" s="438"/>
      <c r="X29" s="438"/>
      <c r="Y29" s="438"/>
    </row>
    <row r="30" spans="2:32" ht="15" customHeight="1" outlineLevel="1" x14ac:dyDescent="0.25">
      <c r="B30" s="52" t="s">
        <v>82</v>
      </c>
      <c r="C30" s="49" t="s">
        <v>55</v>
      </c>
      <c r="D30" s="235">
        <f>IFERROR('Ενεργοί πελάτες'!E30/'Παραδοχές διείσδυσης - κάλυψης'!D30,0)</f>
        <v>0</v>
      </c>
      <c r="E30" s="236">
        <f>IFERROR('Ενεργοί πελάτες'!G30/'Παραδοχές διείσδυσης - κάλυψης'!H30,0)</f>
        <v>0</v>
      </c>
      <c r="F30" s="191">
        <f t="shared" si="1"/>
        <v>0</v>
      </c>
      <c r="G30" s="236">
        <f>IFERROR('Ενεργοί πελάτες'!J30/'Παραδοχές διείσδυσης - κάλυψης'!L30,0)</f>
        <v>0</v>
      </c>
      <c r="H30" s="191">
        <f t="shared" si="2"/>
        <v>0</v>
      </c>
      <c r="I30" s="236">
        <f>IFERROR('Ενεργοί πελάτες'!M30/'Παραδοχές διείσδυσης - κάλυψης'!P30,0)</f>
        <v>0</v>
      </c>
      <c r="J30" s="191">
        <f t="shared" si="2"/>
        <v>0</v>
      </c>
      <c r="K30" s="236">
        <f>IFERROR('Ενεργοί πελάτες'!S30/'Παραδοχές διείσδυσης - κάλυψης'!X30,0)</f>
        <v>0</v>
      </c>
      <c r="L30" s="191">
        <f t="shared" si="2"/>
        <v>0</v>
      </c>
      <c r="M30" s="237">
        <f>IFERROR((K30/D30)^(1/4)-1,0)</f>
        <v>0</v>
      </c>
      <c r="O30" s="236">
        <f>IFERROR('Ενεργοί πελάτες'!Y30/'Παραδοχές διείσδυσης - κάλυψης'!AB30,0)</f>
        <v>0.46249107791199612</v>
      </c>
      <c r="P30" s="191">
        <f t="shared" si="3"/>
        <v>0</v>
      </c>
      <c r="Q30" s="236">
        <f>IFERROR('Ενεργοί πελάτες'!AB30/'Παραδοχές διείσδυσης - κάλυψης'!AF30,0)</f>
        <v>0.6324992576322257</v>
      </c>
      <c r="R30" s="191">
        <f t="shared" si="4"/>
        <v>0.36759234467346663</v>
      </c>
      <c r="S30" s="236">
        <f>IFERROR('Ενεργοί πελάτες'!AE30/'Παραδοχές διείσδυσης - κάλυψης'!AJ30,0)</f>
        <v>0.65316145424148464</v>
      </c>
      <c r="T30" s="191">
        <f t="shared" si="4"/>
        <v>3.2667542862592935E-2</v>
      </c>
      <c r="U30" s="236">
        <f>IFERROR('Ενεργοί πελάτες'!AH30/'Παραδοχές διείσδυσης - κάλυψης'!AN30,0)</f>
        <v>0.66694318406932773</v>
      </c>
      <c r="V30" s="191">
        <f t="shared" si="4"/>
        <v>2.1100035432813153E-2</v>
      </c>
      <c r="W30" s="236">
        <f>IFERROR('Ενεργοί πελάτες'!AK30/'Παραδοχές διείσδυσης - κάλυψης'!AR30,0)</f>
        <v>0.65621336586749279</v>
      </c>
      <c r="X30" s="191">
        <f t="shared" si="4"/>
        <v>-1.6088054362243233E-2</v>
      </c>
      <c r="Y30" s="235">
        <f t="shared" ref="Y30" si="28">IFERROR((W30/O30)^(1/4)-1,0)</f>
        <v>9.1403716240336719E-2</v>
      </c>
    </row>
    <row r="31" spans="2:32" ht="15" customHeight="1" x14ac:dyDescent="0.25">
      <c r="K31" s="55" t="s">
        <v>278</v>
      </c>
    </row>
    <row r="32" spans="2:32" ht="15" customHeight="1" x14ac:dyDescent="0.25">
      <c r="K32" s="55"/>
    </row>
    <row r="33" spans="2:33" ht="15.75" x14ac:dyDescent="0.25">
      <c r="B33" s="352" t="s">
        <v>32</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row>
    <row r="34" spans="2:33" ht="5.45" customHeight="1" outlineLevel="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row>
    <row r="35" spans="2:33" ht="14.25" customHeight="1" outlineLevel="1" x14ac:dyDescent="0.25">
      <c r="B35" s="382"/>
      <c r="C35" s="412" t="s">
        <v>20</v>
      </c>
      <c r="D35" s="372" t="s">
        <v>262</v>
      </c>
      <c r="E35" s="373"/>
      <c r="F35" s="373"/>
      <c r="G35" s="373"/>
      <c r="H35" s="373"/>
      <c r="I35" s="373"/>
      <c r="J35" s="374"/>
      <c r="K35" s="373" t="s">
        <v>260</v>
      </c>
      <c r="L35" s="374"/>
      <c r="M35" s="434" t="str">
        <f>"Ετήσιος ρυθμός ανάπτυξης (CAGR) "&amp;($C$3-5)&amp;" - "&amp;(($C$3-1))</f>
        <v>Ετήσιος ρυθμός ανάπτυξης (CAGR) 2018 - 2022</v>
      </c>
      <c r="N35" s="115"/>
      <c r="O35" s="440" t="s">
        <v>261</v>
      </c>
      <c r="P35" s="441"/>
      <c r="Q35" s="441"/>
      <c r="R35" s="441"/>
      <c r="S35" s="441"/>
      <c r="T35" s="441"/>
      <c r="U35" s="441"/>
      <c r="V35" s="441"/>
      <c r="W35" s="441"/>
      <c r="X35" s="442"/>
      <c r="Y35" s="434" t="str">
        <f>"Ετήσιος ρυθμός ανάπτυξης (CAGR) "&amp;$C$3&amp;" - "&amp;$E$3</f>
        <v>Ετήσιος ρυθμός ανάπτυξης (CAGR) 2023 - 2027</v>
      </c>
    </row>
    <row r="36" spans="2:33" ht="15.75" customHeight="1" outlineLevel="1" x14ac:dyDescent="0.25">
      <c r="B36" s="383"/>
      <c r="C36" s="413"/>
      <c r="D36" s="69">
        <f>$C$3-5</f>
        <v>2018</v>
      </c>
      <c r="E36" s="372">
        <f>$C$3-4</f>
        <v>2019</v>
      </c>
      <c r="F36" s="374"/>
      <c r="G36" s="372">
        <f>$C$3-3</f>
        <v>2020</v>
      </c>
      <c r="H36" s="374"/>
      <c r="I36" s="372">
        <f>$C$3+-2</f>
        <v>2021</v>
      </c>
      <c r="J36" s="374"/>
      <c r="K36" s="372">
        <f>$C$3-1</f>
        <v>2022</v>
      </c>
      <c r="L36" s="374"/>
      <c r="M36" s="435"/>
      <c r="N36" s="115"/>
      <c r="O36" s="372">
        <f>$C$3</f>
        <v>2023</v>
      </c>
      <c r="P36" s="374"/>
      <c r="Q36" s="372">
        <f>$C$3+1</f>
        <v>2024</v>
      </c>
      <c r="R36" s="374"/>
      <c r="S36" s="372">
        <f>$C$3+2</f>
        <v>2025</v>
      </c>
      <c r="T36" s="374"/>
      <c r="U36" s="372">
        <f>$C$3+3</f>
        <v>2026</v>
      </c>
      <c r="V36" s="374"/>
      <c r="W36" s="372">
        <f>$C$3+4</f>
        <v>2027</v>
      </c>
      <c r="X36" s="374"/>
      <c r="Y36" s="435"/>
    </row>
    <row r="37" spans="2:33" ht="15" customHeight="1" outlineLevel="1" x14ac:dyDescent="0.25">
      <c r="B37" s="384"/>
      <c r="C37" s="414"/>
      <c r="D37" s="69" t="s">
        <v>93</v>
      </c>
      <c r="E37" s="69" t="s">
        <v>93</v>
      </c>
      <c r="F37" s="68" t="s">
        <v>81</v>
      </c>
      <c r="G37" s="69" t="s">
        <v>93</v>
      </c>
      <c r="H37" s="68" t="s">
        <v>81</v>
      </c>
      <c r="I37" s="69" t="s">
        <v>93</v>
      </c>
      <c r="J37" s="68" t="s">
        <v>81</v>
      </c>
      <c r="K37" s="69" t="s">
        <v>93</v>
      </c>
      <c r="L37" s="68" t="s">
        <v>81</v>
      </c>
      <c r="M37" s="436"/>
      <c r="O37" s="69" t="s">
        <v>93</v>
      </c>
      <c r="P37" s="68" t="s">
        <v>81</v>
      </c>
      <c r="Q37" s="69" t="s">
        <v>93</v>
      </c>
      <c r="R37" s="68" t="s">
        <v>81</v>
      </c>
      <c r="S37" s="69" t="s">
        <v>93</v>
      </c>
      <c r="T37" s="68" t="s">
        <v>81</v>
      </c>
      <c r="U37" s="69" t="s">
        <v>93</v>
      </c>
      <c r="V37" s="68" t="s">
        <v>81</v>
      </c>
      <c r="W37" s="69" t="s">
        <v>93</v>
      </c>
      <c r="X37" s="68" t="s">
        <v>81</v>
      </c>
      <c r="Y37" s="436"/>
    </row>
    <row r="38" spans="2:33" outlineLevel="1" x14ac:dyDescent="0.25">
      <c r="B38" s="281" t="s">
        <v>283</v>
      </c>
      <c r="C38" s="64" t="s">
        <v>55</v>
      </c>
      <c r="D38" s="235">
        <f>IFERROR('Ανάπτυξη δικτύου'!E38/'Παραδοχές διείσδυσης - κάλυψης'!D82,0)</f>
        <v>0</v>
      </c>
      <c r="E38" s="236">
        <f>IFERROR('Ανάπτυξη δικτύου'!G38/'Παραδοχές διείσδυσης - κάλυψης'!E82,0)</f>
        <v>0</v>
      </c>
      <c r="F38" s="191">
        <f>IFERROR((E38-D38)/D38,0)</f>
        <v>0</v>
      </c>
      <c r="G38" s="236">
        <f>IFERROR('Ανάπτυξη δικτύου'!J38/'Παραδοχές διείσδυσης - κάλυψης'!F82,0)</f>
        <v>0</v>
      </c>
      <c r="H38" s="191">
        <f>IFERROR((G38-E38)/E38,0)</f>
        <v>0</v>
      </c>
      <c r="I38" s="236">
        <f>IFERROR('Ανάπτυξη δικτύου'!M38/'Παραδοχές διείσδυσης - κάλυψης'!G82,0)</f>
        <v>0</v>
      </c>
      <c r="J38" s="191">
        <f>IFERROR((I38-G38)/G38,0)</f>
        <v>0</v>
      </c>
      <c r="K38" s="236">
        <f>IFERROR('Ανάπτυξη δικτύου'!S38/'Παραδοχές διείσδυσης - κάλυψης'!I82,0)</f>
        <v>0</v>
      </c>
      <c r="L38" s="191">
        <f>IFERROR((K38-I38)/I38,0)</f>
        <v>0</v>
      </c>
      <c r="M38" s="237">
        <f>IFERROR((K38/D38)^(1/4)-1,0)</f>
        <v>0</v>
      </c>
      <c r="O38" s="236">
        <f>IFERROR('Ανάπτυξη δικτύου'!Y38/'Παραδοχές διείσδυσης - κάλυψης'!J82,0)</f>
        <v>0.43581944444444448</v>
      </c>
      <c r="P38" s="191">
        <f>IFERROR((O38-K38)/K38,0)</f>
        <v>0</v>
      </c>
      <c r="Q38" s="236">
        <f>IFERROR('Ανάπτυξη δικτύου'!AB38/'Παραδοχές διείσδυσης - κάλυψης'!K82,0)</f>
        <v>0.37913867081041819</v>
      </c>
      <c r="R38" s="191">
        <f>IFERROR((Q38-O38)/O38,0)</f>
        <v>-0.13005563280059571</v>
      </c>
      <c r="S38" s="236">
        <f>IFERROR('Ανάπτυξη δικτύου'!AE38/'Παραδοχές διείσδυσης - κάλυψης'!L82,0)</f>
        <v>0.30184605759792638</v>
      </c>
      <c r="T38" s="191">
        <f>IFERROR((S38-Q38)/Q38,0)</f>
        <v>-0.20386370255315017</v>
      </c>
      <c r="U38" s="236">
        <f>IFERROR('Ανάπτυξη δικτύου'!AH38/'Παραδοχές διείσδυσης - κάλυψης'!M82,0)</f>
        <v>0.28009334648376177</v>
      </c>
      <c r="V38" s="191">
        <f>IFERROR((U38-S38)/S38,0)</f>
        <v>-7.2065579677506569E-2</v>
      </c>
      <c r="W38" s="236">
        <f>IFERROR('Ανάπτυξη δικτύου'!AK38/'Παραδοχές διείσδυσης - κάλυψης'!N82,0)</f>
        <v>0.26573081269261084</v>
      </c>
      <c r="X38" s="191">
        <f>IFERROR((W38-U38)/U38,0)</f>
        <v>-5.1277668575335444E-2</v>
      </c>
      <c r="Y38" s="237">
        <f>IFERROR((W38/O38)^(1/4)-1,0)</f>
        <v>-0.11634278406766196</v>
      </c>
    </row>
    <row r="39" spans="2:33" outlineLevel="1" x14ac:dyDescent="0.25">
      <c r="B39" s="52" t="s">
        <v>284</v>
      </c>
      <c r="C39" s="64" t="s">
        <v>55</v>
      </c>
      <c r="D39" s="235">
        <f>IFERROR('Ανάπτυξη δικτύου'!E39/'Παραδοχές διείσδυσης - κάλυψης'!D83,0)</f>
        <v>0</v>
      </c>
      <c r="E39" s="236">
        <f>IFERROR('Ανάπτυξη δικτύου'!G39/'Παραδοχές διείσδυσης - κάλυψης'!E83,0)</f>
        <v>0</v>
      </c>
      <c r="F39" s="191">
        <f t="shared" ref="F39:F54" si="29">IFERROR((E39-D39)/D39,0)</f>
        <v>0</v>
      </c>
      <c r="G39" s="236">
        <f>IFERROR('Ανάπτυξη δικτύου'!J39/'Παραδοχές διείσδυσης - κάλυψης'!F83,0)</f>
        <v>0</v>
      </c>
      <c r="H39" s="191">
        <f t="shared" ref="H39:H54" si="30">IFERROR((G39-E39)/E39,0)</f>
        <v>0</v>
      </c>
      <c r="I39" s="236">
        <f>IFERROR('Ανάπτυξη δικτύου'!M39/'Παραδοχές διείσδυσης - κάλυψης'!G83,0)</f>
        <v>0</v>
      </c>
      <c r="J39" s="191">
        <f t="shared" ref="J39:J54" si="31">IFERROR((I39-G39)/G39,0)</f>
        <v>0</v>
      </c>
      <c r="K39" s="236">
        <f>IFERROR('Ανάπτυξη δικτύου'!S39/'Παραδοχές διείσδυσης - κάλυψης'!I83,0)</f>
        <v>0</v>
      </c>
      <c r="L39" s="191">
        <f t="shared" ref="L39:L54" si="32">IFERROR((K39-I39)/I39,0)</f>
        <v>0</v>
      </c>
      <c r="M39" s="237">
        <f t="shared" ref="M39:M41" si="33">IFERROR((K39/D39)^(1/4)-1,0)</f>
        <v>0</v>
      </c>
      <c r="N39" s="55"/>
      <c r="O39" s="236">
        <f>IFERROR('Ανάπτυξη δικτύου'!Y39/'Παραδοχές διείσδυσης - κάλυψης'!J83,0)</f>
        <v>0.98444144549407697</v>
      </c>
      <c r="P39" s="191">
        <f t="shared" ref="P39:P54" si="34">IFERROR((O39-K39)/K39,0)</f>
        <v>0</v>
      </c>
      <c r="Q39" s="236">
        <f>IFERROR('Ανάπτυξη δικτύου'!AB39/'Παραδοχές διείσδυσης - κάλυψης'!K83,0)</f>
        <v>0.56003730773250993</v>
      </c>
      <c r="R39" s="191">
        <f t="shared" ref="R39:R54" si="35">IFERROR((Q39-O39)/O39,0)</f>
        <v>-0.43111161126354725</v>
      </c>
      <c r="S39" s="236">
        <f>IFERROR('Ανάπτυξη δικτύου'!AE39/'Παραδοχές διείσδυσης - κάλυψης'!L83,0)</f>
        <v>0.59219914610319124</v>
      </c>
      <c r="T39" s="191">
        <f t="shared" ref="T39:T54" si="36">IFERROR((S39-Q39)/Q39,0)</f>
        <v>5.742802832350366E-2</v>
      </c>
      <c r="U39" s="236">
        <f>IFERROR('Ανάπτυξη δικτύου'!AH39/'Παραδοχές διείσδυσης - κάλυψης'!M83,0)</f>
        <v>0.62436098447387245</v>
      </c>
      <c r="V39" s="191">
        <f t="shared" ref="V39:V54" si="37">IFERROR((U39-S39)/S39,0)</f>
        <v>5.4309160326072095E-2</v>
      </c>
      <c r="W39" s="236">
        <f>IFERROR('Ανάπτυξη δικτύου'!AK39/'Παραδοχές διείσδυσης - κάλυψης'!N83,0)</f>
        <v>0.65652282284455377</v>
      </c>
      <c r="X39" s="191">
        <f t="shared" ref="X39:X54" si="38">IFERROR((W39-U39)/U39,0)</f>
        <v>5.1511608140894637E-2</v>
      </c>
      <c r="Y39" s="237">
        <f t="shared" ref="Y39:Y54" si="39">IFERROR((W39/O39)^(1/4)-1,0)</f>
        <v>-9.6319346668055528E-2</v>
      </c>
    </row>
    <row r="40" spans="2:33" outlineLevel="1" x14ac:dyDescent="0.25">
      <c r="B40" s="52" t="s">
        <v>285</v>
      </c>
      <c r="C40" s="64" t="s">
        <v>55</v>
      </c>
      <c r="D40" s="235">
        <f>IFERROR('Ανάπτυξη δικτύου'!E40/'Παραδοχές διείσδυσης - κάλυψης'!D84,0)</f>
        <v>0</v>
      </c>
      <c r="E40" s="236">
        <f>IFERROR('Ανάπτυξη δικτύου'!G40/'Παραδοχές διείσδυσης - κάλυψης'!E84,0)</f>
        <v>0</v>
      </c>
      <c r="F40" s="191">
        <f t="shared" si="29"/>
        <v>0</v>
      </c>
      <c r="G40" s="236">
        <f>IFERROR('Ανάπτυξη δικτύου'!J40/'Παραδοχές διείσδυσης - κάλυψης'!F84,0)</f>
        <v>0</v>
      </c>
      <c r="H40" s="191">
        <f t="shared" si="30"/>
        <v>0</v>
      </c>
      <c r="I40" s="236">
        <f>IFERROR('Ανάπτυξη δικτύου'!M40/'Παραδοχές διείσδυσης - κάλυψης'!G84,0)</f>
        <v>0</v>
      </c>
      <c r="J40" s="191">
        <f t="shared" si="31"/>
        <v>0</v>
      </c>
      <c r="K40" s="236">
        <f>IFERROR('Ανάπτυξη δικτύου'!S40/'Παραδοχές διείσδυσης - κάλυψης'!I84,0)</f>
        <v>0</v>
      </c>
      <c r="L40" s="191">
        <f t="shared" si="32"/>
        <v>0</v>
      </c>
      <c r="M40" s="237">
        <f t="shared" si="33"/>
        <v>0</v>
      </c>
      <c r="O40" s="236">
        <f>IFERROR('Ανάπτυξη δικτύου'!Y40/'Παραδοχές διείσδυσης - κάλυψης'!J84,0)</f>
        <v>0.94515939421202577</v>
      </c>
      <c r="P40" s="191">
        <f t="shared" si="34"/>
        <v>0</v>
      </c>
      <c r="Q40" s="236">
        <f>IFERROR('Ανάπτυξη δικτύου'!AB40/'Παραδοχές διείσδυσης - κάλυψης'!K84,0)</f>
        <v>0.5389735549283996</v>
      </c>
      <c r="R40" s="191">
        <f t="shared" si="35"/>
        <v>-0.42975379790015322</v>
      </c>
      <c r="S40" s="236">
        <f>IFERROR('Ανάπτυξη δικτύου'!AE40/'Παραδοχές διείσδυσης - κάλυψης'!L84,0)</f>
        <v>0.57113539329908092</v>
      </c>
      <c r="T40" s="191">
        <f t="shared" si="36"/>
        <v>5.9672386662744305E-2</v>
      </c>
      <c r="U40" s="236">
        <f>IFERROR('Ανάπτυξη δικτύου'!AH40/'Παραδοχές διείσδυσης - κάλυψης'!M84,0)</f>
        <v>0.60329723166976224</v>
      </c>
      <c r="V40" s="191">
        <f t="shared" si="37"/>
        <v>5.6312108736429577E-2</v>
      </c>
      <c r="W40" s="236">
        <f>IFERROR('Ανάπτυξη δικτύου'!AK40/'Παραδοχές διείσδυσης - κάλυψης'!N84,0)</f>
        <v>0.63545907004044344</v>
      </c>
      <c r="X40" s="191">
        <f t="shared" si="38"/>
        <v>5.3310104343867133E-2</v>
      </c>
      <c r="Y40" s="237">
        <f t="shared" si="39"/>
        <v>-9.448503538415276E-2</v>
      </c>
    </row>
    <row r="41" spans="2:33" ht="16.5" customHeight="1" outlineLevel="1" x14ac:dyDescent="0.25">
      <c r="B41" s="52" t="s">
        <v>286</v>
      </c>
      <c r="C41" s="138" t="s">
        <v>55</v>
      </c>
      <c r="D41" s="235">
        <f>IFERROR('Ανάπτυξη δικτύου'!E46/'Παραδοχές διείσδυσης - κάλυψης'!D85,0)</f>
        <v>0</v>
      </c>
      <c r="E41" s="236">
        <f>IFERROR('Ανάπτυξη δικτύου'!G46/'Παραδοχές διείσδυσης - κάλυψης'!E85,0)</f>
        <v>0</v>
      </c>
      <c r="F41" s="191">
        <f t="shared" si="29"/>
        <v>0</v>
      </c>
      <c r="G41" s="236">
        <f>IFERROR('Ανάπτυξη δικτύου'!J46/'Παραδοχές διείσδυσης - κάλυψης'!F85,0)</f>
        <v>0</v>
      </c>
      <c r="H41" s="191">
        <f t="shared" si="30"/>
        <v>0</v>
      </c>
      <c r="I41" s="236">
        <f>IFERROR('Ανάπτυξη δικτύου'!M46/'Παραδοχές διείσδυσης - κάλυψης'!G85,0)</f>
        <v>0</v>
      </c>
      <c r="J41" s="191">
        <f t="shared" si="31"/>
        <v>0</v>
      </c>
      <c r="K41" s="236">
        <f>IFERROR('Ανάπτυξη δικτύου'!S46/'Παραδοχές διείσδυσης - κάλυψης'!I85,0)</f>
        <v>0</v>
      </c>
      <c r="L41" s="191">
        <f t="shared" si="32"/>
        <v>0</v>
      </c>
      <c r="M41" s="237">
        <f t="shared" si="33"/>
        <v>0</v>
      </c>
      <c r="N41" s="55"/>
      <c r="O41" s="236">
        <f>IFERROR('Ανάπτυξη δικτύου'!Y41/'Παραδοχές διείσδυσης - κάλυψης'!J85,0)</f>
        <v>0.613421666053245</v>
      </c>
      <c r="P41" s="191">
        <f t="shared" si="34"/>
        <v>0</v>
      </c>
      <c r="Q41" s="236">
        <f>IFERROR('Ανάπτυξη δικτύου'!AB41/'Παραδοχές διείσδυσης - κάλυψης'!K85,0)</f>
        <v>0.38706542641021524</v>
      </c>
      <c r="R41" s="191">
        <f t="shared" si="35"/>
        <v>-0.36900594186606711</v>
      </c>
      <c r="S41" s="236">
        <f>IFERROR('Ανάπτυξη δικτύου'!AE41/'Παραδοχές διείσδυσης - κάλυψης'!L85,0)</f>
        <v>0.40353629561916055</v>
      </c>
      <c r="T41" s="191">
        <f t="shared" si="36"/>
        <v>4.2553191489361639E-2</v>
      </c>
      <c r="U41" s="236">
        <f>IFERROR('Ανάπτυξη δικτύου'!AH41/'Παραδοχές διείσδυσης - κάλυψης'!M85,0)</f>
        <v>0.42000716482810591</v>
      </c>
      <c r="V41" s="191">
        <f t="shared" si="37"/>
        <v>4.0816326530612325E-2</v>
      </c>
      <c r="W41" s="236">
        <f>IFERROR('Ανάπτυξη δικτύου'!AK41/'Παραδοχές διείσδυσης - κάλυψης'!N85,0)</f>
        <v>0.43647803403705121</v>
      </c>
      <c r="X41" s="191">
        <f t="shared" si="38"/>
        <v>3.9215686274509741E-2</v>
      </c>
      <c r="Y41" s="237">
        <f t="shared" si="39"/>
        <v>-8.1559935662452676E-2</v>
      </c>
    </row>
    <row r="42" spans="2:33" outlineLevel="1" x14ac:dyDescent="0.25">
      <c r="B42" s="52" t="s">
        <v>287</v>
      </c>
      <c r="C42" s="64" t="s">
        <v>55</v>
      </c>
      <c r="D42" s="235">
        <f>IFERROR('Ανάπτυξη δικτύου'!E42/'Παραδοχές διείσδυσης - κάλυψης'!D86,0)</f>
        <v>0</v>
      </c>
      <c r="E42" s="236">
        <f>IFERROR('Ανάπτυξη δικτύου'!G42/'Παραδοχές διείσδυσης - κάλυψης'!E86,0)</f>
        <v>0</v>
      </c>
      <c r="F42" s="191">
        <f>IFERROR((E42-D42)/D42,0)</f>
        <v>0</v>
      </c>
      <c r="G42" s="236">
        <f>IFERROR('Ανάπτυξη δικτύου'!J42/'Παραδοχές διείσδυσης - κάλυψης'!F86,0)</f>
        <v>0</v>
      </c>
      <c r="H42" s="191">
        <f>IFERROR((G42-E42)/E42,0)</f>
        <v>0</v>
      </c>
      <c r="I42" s="236">
        <f>IFERROR('Ανάπτυξη δικτύου'!M42/'Παραδοχές διείσδυσης - κάλυψης'!G86,0)</f>
        <v>0</v>
      </c>
      <c r="J42" s="191">
        <f>IFERROR((I42-G42)/G42,0)</f>
        <v>0</v>
      </c>
      <c r="K42" s="236">
        <f>IFERROR('Ανάπτυξη δικτύου'!S42/'Παραδοχές διείσδυσης - κάλυψης'!I86,0)</f>
        <v>0</v>
      </c>
      <c r="L42" s="191">
        <f>IFERROR((K42-I42)/I42,0)</f>
        <v>0</v>
      </c>
      <c r="M42" s="237">
        <f>IFERROR((K42/D42)^(1/4)-1,0)</f>
        <v>0</v>
      </c>
      <c r="O42" s="236">
        <f>IFERROR('Ανάπτυξη δικτύου'!Y42/'Παραδοχές διείσδυσης - κάλυψης'!J86,0)</f>
        <v>0.49372963365261185</v>
      </c>
      <c r="P42" s="191">
        <f>IFERROR((O42-K42)/K42,0)</f>
        <v>0</v>
      </c>
      <c r="Q42" s="236">
        <f>IFERROR('Ανάπτυξη δικτύου'!AB42/'Παραδοχές διείσδυσης - κάλυψης'!K86,0)</f>
        <v>0.3376182112699832</v>
      </c>
      <c r="R42" s="191">
        <f>IFERROR((Q42-O42)/O42,0)</f>
        <v>-0.31618807489377604</v>
      </c>
      <c r="S42" s="236">
        <f>IFERROR('Ανάπτυξη δικτύου'!AE42/'Παραδοχές διείσδυσης - κάλυψης'!L86,0)</f>
        <v>0.3519849436644506</v>
      </c>
      <c r="T42" s="191">
        <f>IFERROR((S42-Q42)/Q42,0)</f>
        <v>4.2553191489361777E-2</v>
      </c>
      <c r="U42" s="236">
        <f>IFERROR('Ανάπτυξη δικτύου'!AH42/'Παραδοχές διείσδυσης - κάλυψης'!M86,0)</f>
        <v>0.366351676058918</v>
      </c>
      <c r="V42" s="191">
        <f>IFERROR((U42-S42)/S42,0)</f>
        <v>4.0816326530612318E-2</v>
      </c>
      <c r="W42" s="236">
        <f>IFERROR('Ανάπτυξη δικτύου'!AK42/'Παραδοχές διείσδυσης - κάλυψης'!N86,0)</f>
        <v>0.38071840845338534</v>
      </c>
      <c r="X42" s="191">
        <f>IFERROR((W42-U42)/U42,0)</f>
        <v>3.921568627450972E-2</v>
      </c>
      <c r="Y42" s="237">
        <f>IFERROR((W42/O42)^(1/4)-1,0)</f>
        <v>-6.2915681115686684E-2</v>
      </c>
    </row>
    <row r="43" spans="2:33" outlineLevel="1" x14ac:dyDescent="0.25">
      <c r="B43" s="52" t="s">
        <v>288</v>
      </c>
      <c r="C43" s="64" t="s">
        <v>55</v>
      </c>
      <c r="D43" s="235">
        <f>IFERROR('Ανάπτυξη δικτύου'!E43/'Παραδοχές διείσδυσης - κάλυψης'!D87,0)</f>
        <v>0</v>
      </c>
      <c r="E43" s="236">
        <f>IFERROR('Ανάπτυξη δικτύου'!G43/'Παραδοχές διείσδυσης - κάλυψης'!E87,0)</f>
        <v>0</v>
      </c>
      <c r="F43" s="191">
        <f t="shared" ref="F43:F45" si="40">IFERROR((E43-D43)/D43,0)</f>
        <v>0</v>
      </c>
      <c r="G43" s="236">
        <f>IFERROR('Ανάπτυξη δικτύου'!J43/'Παραδοχές διείσδυσης - κάλυψης'!F87,0)</f>
        <v>0</v>
      </c>
      <c r="H43" s="191">
        <f t="shared" ref="H43:H45" si="41">IFERROR((G43-E43)/E43,0)</f>
        <v>0</v>
      </c>
      <c r="I43" s="236">
        <f>IFERROR('Ανάπτυξη δικτύου'!M43/'Παραδοχές διείσδυσης - κάλυψης'!G87,0)</f>
        <v>0</v>
      </c>
      <c r="J43" s="191">
        <f t="shared" ref="J43:J45" si="42">IFERROR((I43-G43)/G43,0)</f>
        <v>0</v>
      </c>
      <c r="K43" s="236">
        <f>IFERROR('Ανάπτυξη δικτύου'!S43/'Παραδοχές διείσδυσης - κάλυψης'!I87,0)</f>
        <v>0</v>
      </c>
      <c r="L43" s="191">
        <f t="shared" ref="L43:L45" si="43">IFERROR((K43-I43)/I43,0)</f>
        <v>0</v>
      </c>
      <c r="M43" s="237">
        <f t="shared" ref="M43:M45" si="44">IFERROR((K43/D43)^(1/4)-1,0)</f>
        <v>0</v>
      </c>
      <c r="N43" s="55"/>
      <c r="O43" s="236">
        <f>IFERROR('Ανάπτυξη δικτύου'!Y43/'Παραδοχές διείσδυσης - κάλυψης'!J87,0)</f>
        <v>0.48783985973628352</v>
      </c>
      <c r="P43" s="191">
        <f t="shared" ref="P43:P45" si="45">IFERROR((O43-K43)/K43,0)</f>
        <v>0</v>
      </c>
      <c r="Q43" s="236">
        <f>IFERROR('Ανάπτυξη δικτύου'!AB43/'Παραδοχές διείσδυσης - κάλυψης'!K87,0)</f>
        <v>0.38256312473275583</v>
      </c>
      <c r="R43" s="191">
        <f t="shared" ref="R43:R45" si="46">IFERROR((Q43-O43)/O43,0)</f>
        <v>-0.21580183107718626</v>
      </c>
      <c r="S43" s="236">
        <f>IFERROR('Ανάπτυξη δικτύου'!AE43/'Παραδοχές διείσδυσης - κάλυψης'!L87,0)</f>
        <v>0.45907574967930698</v>
      </c>
      <c r="T43" s="191">
        <f t="shared" ref="T43:T45" si="47">IFERROR((S43-Q43)/Q43,0)</f>
        <v>0.19999999999999996</v>
      </c>
      <c r="U43" s="236">
        <f>IFERROR('Ανάπτυξη δικτύου'!AH43/'Παραδοχές διείσδυσης - κάλυψης'!M87,0)</f>
        <v>0.49733206215258258</v>
      </c>
      <c r="V43" s="191">
        <f t="shared" ref="V43:V45" si="48">IFERROR((U43-S43)/S43,0)</f>
        <v>8.333333333333337E-2</v>
      </c>
      <c r="W43" s="236">
        <f>IFERROR('Ανάπτυξη δικτύου'!AK43/'Παραδοχές διείσδυσης - κάλυψης'!N87,0)</f>
        <v>0.53558837462585818</v>
      </c>
      <c r="X43" s="191">
        <f t="shared" ref="X43:X45" si="49">IFERROR((W43-U43)/U43,0)</f>
        <v>7.6923076923076955E-2</v>
      </c>
      <c r="Y43" s="237">
        <f t="shared" ref="Y43:Y45" si="50">IFERROR((W43/O43)^(1/4)-1,0)</f>
        <v>2.361929793834272E-2</v>
      </c>
    </row>
    <row r="44" spans="2:33" outlineLevel="1" x14ac:dyDescent="0.25">
      <c r="B44" s="52" t="s">
        <v>289</v>
      </c>
      <c r="C44" s="64" t="s">
        <v>55</v>
      </c>
      <c r="D44" s="235">
        <f>IFERROR('Ανάπτυξη δικτύου'!E44/'Παραδοχές διείσδυσης - κάλυψης'!D88,0)</f>
        <v>0</v>
      </c>
      <c r="E44" s="236">
        <f>IFERROR('Ανάπτυξη δικτύου'!G44/'Παραδοχές διείσδυσης - κάλυψης'!E88,0)</f>
        <v>0</v>
      </c>
      <c r="F44" s="191">
        <f t="shared" si="40"/>
        <v>0</v>
      </c>
      <c r="G44" s="236">
        <f>IFERROR('Ανάπτυξη δικτύου'!J44/'Παραδοχές διείσδυσης - κάλυψης'!F88,0)</f>
        <v>0</v>
      </c>
      <c r="H44" s="191">
        <f t="shared" si="41"/>
        <v>0</v>
      </c>
      <c r="I44" s="236">
        <f>IFERROR('Ανάπτυξη δικτύου'!M44/'Παραδοχές διείσδυσης - κάλυψης'!G88,0)</f>
        <v>0</v>
      </c>
      <c r="J44" s="191">
        <f t="shared" si="42"/>
        <v>0</v>
      </c>
      <c r="K44" s="236">
        <f>IFERROR('Ανάπτυξη δικτύου'!S44/'Παραδοχές διείσδυσης - κάλυψης'!I88,0)</f>
        <v>0</v>
      </c>
      <c r="L44" s="191">
        <f t="shared" si="43"/>
        <v>0</v>
      </c>
      <c r="M44" s="237">
        <f t="shared" si="44"/>
        <v>0</v>
      </c>
      <c r="O44" s="236">
        <f>IFERROR('Ανάπτυξη δικτύου'!Y44/'Παραδοχές διείσδυσης - κάλυψης'!J88,0)</f>
        <v>0.67051211563132385</v>
      </c>
      <c r="P44" s="191">
        <f t="shared" si="45"/>
        <v>0</v>
      </c>
      <c r="Q44" s="236">
        <f>IFERROR('Ανάπτυξη δικτύου'!AB44/'Παραδοχές διείσδυσης - κάλυψης'!K88,0)</f>
        <v>0.4307731167343935</v>
      </c>
      <c r="R44" s="191">
        <f t="shared" si="46"/>
        <v>-0.35754611036551215</v>
      </c>
      <c r="S44" s="236">
        <f>IFERROR('Ανάπτυξη δικτύου'!AE44/'Παραδοχές διείσδυσης - κάλυψης'!L88,0)</f>
        <v>0.44663419903120516</v>
      </c>
      <c r="T44" s="191">
        <f t="shared" si="47"/>
        <v>3.6820037464388236E-2</v>
      </c>
      <c r="U44" s="236">
        <f>IFERROR('Ανάπτυξη δικτύου'!AH44/'Παραδοχές διείσδυσης - κάλυψης'!M88,0)</f>
        <v>0.46249528132801676</v>
      </c>
      <c r="V44" s="191">
        <f t="shared" si="48"/>
        <v>3.5512467095479693E-2</v>
      </c>
      <c r="W44" s="236">
        <f>IFERROR('Ανάπτυξη δικτύου'!AK44/'Παραδοχές διείσδυσης - κάλυψης'!N88,0)</f>
        <v>0.47835636362482836</v>
      </c>
      <c r="X44" s="191">
        <f t="shared" si="49"/>
        <v>3.429458188474447E-2</v>
      </c>
      <c r="Y44" s="237">
        <f t="shared" si="50"/>
        <v>-8.0956153528916608E-2</v>
      </c>
    </row>
    <row r="45" spans="2:33" ht="16.5" customHeight="1" outlineLevel="1" x14ac:dyDescent="0.25">
      <c r="B45" s="52" t="s">
        <v>290</v>
      </c>
      <c r="C45" s="138" t="s">
        <v>55</v>
      </c>
      <c r="D45" s="235">
        <f>IFERROR('Ανάπτυξη δικτύου'!E56/'Παραδοχές διείσδυσης - κάλυψης'!D89,0)</f>
        <v>0</v>
      </c>
      <c r="E45" s="236">
        <f>IFERROR('Ανάπτυξη δικτύου'!G56/'Παραδοχές διείσδυσης - κάλυψης'!E89,0)</f>
        <v>0</v>
      </c>
      <c r="F45" s="191">
        <f t="shared" si="40"/>
        <v>0</v>
      </c>
      <c r="G45" s="236">
        <f>IFERROR('Ανάπτυξη δικτύου'!J56/'Παραδοχές διείσδυσης - κάλυψης'!F89,0)</f>
        <v>0</v>
      </c>
      <c r="H45" s="191">
        <f t="shared" si="41"/>
        <v>0</v>
      </c>
      <c r="I45" s="236">
        <f>IFERROR('Ανάπτυξη δικτύου'!M56/'Παραδοχές διείσδυσης - κάλυψης'!G89,0)</f>
        <v>0</v>
      </c>
      <c r="J45" s="191">
        <f t="shared" si="42"/>
        <v>0</v>
      </c>
      <c r="K45" s="236">
        <f>IFERROR('Ανάπτυξη δικτύου'!S56/'Παραδοχές διείσδυσης - κάλυψης'!I89,0)</f>
        <v>0</v>
      </c>
      <c r="L45" s="191">
        <f t="shared" si="43"/>
        <v>0</v>
      </c>
      <c r="M45" s="237">
        <f t="shared" si="44"/>
        <v>0</v>
      </c>
      <c r="N45" s="55"/>
      <c r="O45" s="236">
        <f>IFERROR('Ανάπτυξη δικτύου'!Y45/'Παραδοχές διείσδυσης - κάλυψης'!J89,0)</f>
        <v>0.72555250823502093</v>
      </c>
      <c r="P45" s="191">
        <f t="shared" si="45"/>
        <v>0</v>
      </c>
      <c r="Q45" s="236">
        <f>IFERROR('Ανάπτυξη δικτύου'!AB45/'Παραδοχές διείσδυσης - κάλυψης'!K89,0)</f>
        <v>0.44451853086625548</v>
      </c>
      <c r="R45" s="191">
        <f t="shared" si="46"/>
        <v>-0.3873378896482747</v>
      </c>
      <c r="S45" s="236">
        <f>IFERROR('Ανάπτυξη δικτύου'!AE45/'Παραδοχές διείσδυσης - κάλυψης'!L89,0)</f>
        <v>0.46161539743803454</v>
      </c>
      <c r="T45" s="191">
        <f t="shared" si="47"/>
        <v>3.8461538461538464E-2</v>
      </c>
      <c r="U45" s="236">
        <f>IFERROR('Ανάπτυξη δικτύου'!AH45/'Παραδοχές διείσδυσης - κάλυψης'!M89,0)</f>
        <v>0.47871226400981359</v>
      </c>
      <c r="V45" s="191">
        <f t="shared" si="48"/>
        <v>3.7037037037037035E-2</v>
      </c>
      <c r="W45" s="236">
        <f>IFERROR('Ανάπτυξη δικτύου'!AK45/'Παραδοχές διείσδυσης - κάλυψης'!N89,0)</f>
        <v>0.49580913058159265</v>
      </c>
      <c r="X45" s="191">
        <f t="shared" si="49"/>
        <v>3.5714285714285712E-2</v>
      </c>
      <c r="Y45" s="237">
        <f t="shared" si="50"/>
        <v>-9.0795831681258488E-2</v>
      </c>
    </row>
    <row r="46" spans="2:33" ht="16.5" customHeight="1" outlineLevel="1" x14ac:dyDescent="0.25">
      <c r="B46" s="52" t="s">
        <v>291</v>
      </c>
      <c r="C46" s="138" t="s">
        <v>55</v>
      </c>
      <c r="D46" s="235">
        <f>IFERROR('Ανάπτυξη δικτύου'!E57/'Παραδοχές διείσδυσης - κάλυψης'!D90,0)</f>
        <v>0</v>
      </c>
      <c r="E46" s="236">
        <f>IFERROR('Ανάπτυξη δικτύου'!G57/'Παραδοχές διείσδυσης - κάλυψης'!E90,0)</f>
        <v>0</v>
      </c>
      <c r="F46" s="191">
        <f t="shared" ref="F46:F52" si="51">IFERROR((E46-D46)/D46,0)</f>
        <v>0</v>
      </c>
      <c r="G46" s="236">
        <f>IFERROR('Ανάπτυξη δικτύου'!J57/'Παραδοχές διείσδυσης - κάλυψης'!F90,0)</f>
        <v>0</v>
      </c>
      <c r="H46" s="191">
        <f t="shared" ref="H46:H52" si="52">IFERROR((G46-E46)/E46,0)</f>
        <v>0</v>
      </c>
      <c r="I46" s="236">
        <f>IFERROR('Ανάπτυξη δικτύου'!M57/'Παραδοχές διείσδυσης - κάλυψης'!G90,0)</f>
        <v>0</v>
      </c>
      <c r="J46" s="191">
        <f t="shared" ref="J46:J52" si="53">IFERROR((I46-G46)/G46,0)</f>
        <v>0</v>
      </c>
      <c r="K46" s="236">
        <f>IFERROR('Ανάπτυξη δικτύου'!S57/'Παραδοχές διείσδυσης - κάλυψης'!I90,0)</f>
        <v>0</v>
      </c>
      <c r="L46" s="191">
        <f t="shared" ref="L46:L52" si="54">IFERROR((K46-I46)/I46,0)</f>
        <v>0</v>
      </c>
      <c r="M46" s="237">
        <f t="shared" ref="M46:M52" si="55">IFERROR((K46/D46)^(1/4)-1,0)</f>
        <v>0</v>
      </c>
      <c r="N46" s="55"/>
      <c r="O46" s="236">
        <f>IFERROR('Ανάπτυξη δικτύου'!Y46/'Παραδοχές διείσδυσης - κάλυψης'!J90,0)</f>
        <v>0.62332599324906546</v>
      </c>
      <c r="P46" s="191">
        <f t="shared" ref="P46" si="56">IFERROR((O46-K46)/K46,0)</f>
        <v>0</v>
      </c>
      <c r="Q46" s="236">
        <f>IFERROR('Ανάπτυξη δικτύου'!AB46/'Παραδοχές διείσδυσης - κάλυψης'!K90,0)</f>
        <v>0.62332599324906546</v>
      </c>
      <c r="R46" s="191">
        <f t="shared" ref="R46" si="57">IFERROR((Q46-O46)/O46,0)</f>
        <v>0</v>
      </c>
      <c r="S46" s="236">
        <f>IFERROR('Ανάπτυξη δικτύου'!AE46/'Παραδοχές διείσδυσης - κάλυψης'!L90,0)</f>
        <v>0.62332599324906546</v>
      </c>
      <c r="T46" s="191">
        <f t="shared" ref="T46" si="58">IFERROR((S46-Q46)/Q46,0)</f>
        <v>0</v>
      </c>
      <c r="U46" s="236">
        <f>IFERROR('Ανάπτυξη δικτύου'!AH46/'Παραδοχές διείσδυσης - κάλυψης'!M90,0)</f>
        <v>0.62332599324906546</v>
      </c>
      <c r="V46" s="191">
        <f t="shared" ref="V46" si="59">IFERROR((U46-S46)/S46,0)</f>
        <v>0</v>
      </c>
      <c r="W46" s="236">
        <f>IFERROR('Ανάπτυξη δικτύου'!AK46/'Παραδοχές διείσδυσης - κάλυψης'!N90,0)</f>
        <v>0.62332599324906546</v>
      </c>
      <c r="X46" s="191">
        <f t="shared" ref="X46" si="60">IFERROR((W46-U46)/U46,0)</f>
        <v>0</v>
      </c>
      <c r="Y46" s="237">
        <f t="shared" ref="Y46" si="61">IFERROR((W46/O46)^(1/4)-1,0)</f>
        <v>0</v>
      </c>
    </row>
    <row r="47" spans="2:33" ht="16.5" customHeight="1" outlineLevel="1" x14ac:dyDescent="0.25">
      <c r="B47" s="52" t="s">
        <v>307</v>
      </c>
      <c r="C47" s="138" t="s">
        <v>55</v>
      </c>
      <c r="D47" s="235">
        <f>IFERROR('Ανάπτυξη δικτύου'!E58/'Παραδοχές διείσδυσης - κάλυψης'!D91,0)</f>
        <v>0</v>
      </c>
      <c r="E47" s="236">
        <f>IFERROR('Ανάπτυξη δικτύου'!G58/'Παραδοχές διείσδυσης - κάλυψης'!E91,0)</f>
        <v>0</v>
      </c>
      <c r="F47" s="191">
        <f t="shared" si="51"/>
        <v>0</v>
      </c>
      <c r="G47" s="236">
        <f>IFERROR('Ανάπτυξη δικτύου'!J58/'Παραδοχές διείσδυσης - κάλυψης'!F91,0)</f>
        <v>0</v>
      </c>
      <c r="H47" s="191">
        <f t="shared" si="52"/>
        <v>0</v>
      </c>
      <c r="I47" s="236">
        <f>IFERROR('Ανάπτυξη δικτύου'!M58/'Παραδοχές διείσδυσης - κάλυψης'!G91,0)</f>
        <v>0</v>
      </c>
      <c r="J47" s="191">
        <f t="shared" si="53"/>
        <v>0</v>
      </c>
      <c r="K47" s="236">
        <f>IFERROR('Ανάπτυξη δικτύου'!S58/'Παραδοχές διείσδυσης - κάλυψης'!I91,0)</f>
        <v>0</v>
      </c>
      <c r="L47" s="191">
        <f t="shared" si="54"/>
        <v>0</v>
      </c>
      <c r="M47" s="237">
        <f t="shared" si="55"/>
        <v>0</v>
      </c>
      <c r="N47" s="55"/>
      <c r="O47" s="236">
        <f>IFERROR('Ανάπτυξη δικτύου'!Y47/'Παραδοχές διείσδυσης - κάλυψης'!J91,0)</f>
        <v>0.32738095238095238</v>
      </c>
      <c r="P47" s="191"/>
      <c r="Q47" s="236">
        <f>IFERROR('Ανάπτυξη δικτύου'!AB47/'Παραδοχές διείσδυσης - κάλυψης'!K91,0)</f>
        <v>0.26785714285714285</v>
      </c>
      <c r="R47" s="191"/>
      <c r="S47" s="236">
        <f>IFERROR('Ανάπτυξη δικτύου'!AE47/'Παραδοχές διείσδυσης - κάλυψης'!L91,0)</f>
        <v>0.35714285714285715</v>
      </c>
      <c r="T47" s="191"/>
      <c r="U47" s="236">
        <f>IFERROR('Ανάπτυξη δικτύου'!AH47/'Παραδοχές διείσδυσης - κάλυψης'!M91,0)</f>
        <v>0.38690476190476192</v>
      </c>
      <c r="V47" s="191"/>
      <c r="W47" s="236">
        <f>IFERROR('Ανάπτυξη δικτύου'!AK47/'Παραδοχές διείσδυσης - κάλυψης'!N91,0)</f>
        <v>0.41666666666666669</v>
      </c>
      <c r="X47" s="191"/>
      <c r="Y47" s="237"/>
    </row>
    <row r="48" spans="2:33" ht="16.5" customHeight="1" outlineLevel="1" x14ac:dyDescent="0.25">
      <c r="B48" s="52" t="s">
        <v>304</v>
      </c>
      <c r="C48" s="138" t="s">
        <v>55</v>
      </c>
      <c r="D48" s="235">
        <f>IFERROR('Ανάπτυξη δικτύου'!E59/'Παραδοχές διείσδυσης - κάλυψης'!D92,0)</f>
        <v>0</v>
      </c>
      <c r="E48" s="236">
        <f>IFERROR('Ανάπτυξη δικτύου'!G59/'Παραδοχές διείσδυσης - κάλυψης'!E92,0)</f>
        <v>0</v>
      </c>
      <c r="F48" s="191">
        <f t="shared" si="51"/>
        <v>0</v>
      </c>
      <c r="G48" s="236">
        <f>IFERROR('Ανάπτυξη δικτύου'!J59/'Παραδοχές διείσδυσης - κάλυψης'!F92,0)</f>
        <v>0</v>
      </c>
      <c r="H48" s="191">
        <f t="shared" si="52"/>
        <v>0</v>
      </c>
      <c r="I48" s="236">
        <f>IFERROR('Ανάπτυξη δικτύου'!M59/'Παραδοχές διείσδυσης - κάλυψης'!G92,0)</f>
        <v>0</v>
      </c>
      <c r="J48" s="191">
        <f t="shared" si="53"/>
        <v>0</v>
      </c>
      <c r="K48" s="236">
        <f>IFERROR('Ανάπτυξη δικτύου'!S59/'Παραδοχές διείσδυσης - κάλυψης'!I92,0)</f>
        <v>0</v>
      </c>
      <c r="L48" s="191">
        <f t="shared" si="54"/>
        <v>0</v>
      </c>
      <c r="M48" s="237">
        <f t="shared" si="55"/>
        <v>0</v>
      </c>
      <c r="N48" s="55"/>
      <c r="O48" s="236">
        <f>IFERROR('Ανάπτυξη δικτύου'!Y48/'Παραδοχές διείσδυσης - κάλυψης'!J92,0)</f>
        <v>0.35714285714285715</v>
      </c>
      <c r="P48" s="191"/>
      <c r="Q48" s="236">
        <f>IFERROR('Ανάπτυξη δικτύου'!AB48/'Παραδοχές διείσδυσης - κάλυψης'!K92,0)</f>
        <v>0.35714285714285715</v>
      </c>
      <c r="R48" s="191"/>
      <c r="S48" s="236">
        <f>IFERROR('Ανάπτυξη δικτύου'!AE48/'Παραδοχές διείσδυσης - κάλυψης'!L92,0)</f>
        <v>0.44642857142857145</v>
      </c>
      <c r="T48" s="191"/>
      <c r="U48" s="236">
        <f>IFERROR('Ανάπτυξη δικτύου'!AH48/'Παραδοχές διείσδυσης - κάλυψης'!M92,0)</f>
        <v>0.5357142857142857</v>
      </c>
      <c r="V48" s="191"/>
      <c r="W48" s="236">
        <f>IFERROR('Ανάπτυξη δικτύου'!AK48/'Παραδοχές διείσδυσης - κάλυψης'!N92,0)</f>
        <v>0.625</v>
      </c>
      <c r="X48" s="191"/>
      <c r="Y48" s="237"/>
    </row>
    <row r="49" spans="2:33" ht="16.5" customHeight="1" outlineLevel="1" x14ac:dyDescent="0.25">
      <c r="B49" s="52" t="s">
        <v>305</v>
      </c>
      <c r="C49" s="138" t="s">
        <v>55</v>
      </c>
      <c r="D49" s="235">
        <f>IFERROR('Ανάπτυξη δικτύου'!E60/'Παραδοχές διείσδυσης - κάλυψης'!D93,0)</f>
        <v>0</v>
      </c>
      <c r="E49" s="236">
        <f>IFERROR('Ανάπτυξη δικτύου'!G60/'Παραδοχές διείσδυσης - κάλυψης'!E93,0)</f>
        <v>0</v>
      </c>
      <c r="F49" s="191">
        <f t="shared" si="51"/>
        <v>0</v>
      </c>
      <c r="G49" s="236">
        <f>IFERROR('Ανάπτυξη δικτύου'!J60/'Παραδοχές διείσδυσης - κάλυψης'!F93,0)</f>
        <v>0</v>
      </c>
      <c r="H49" s="191">
        <f t="shared" si="52"/>
        <v>0</v>
      </c>
      <c r="I49" s="236">
        <f>IFERROR('Ανάπτυξη δικτύου'!M60/'Παραδοχές διείσδυσης - κάλυψης'!G93,0)</f>
        <v>0</v>
      </c>
      <c r="J49" s="191">
        <f t="shared" si="53"/>
        <v>0</v>
      </c>
      <c r="K49" s="236">
        <f>IFERROR('Ανάπτυξη δικτύου'!S60/'Παραδοχές διείσδυσης - κάλυψης'!I93,0)</f>
        <v>0</v>
      </c>
      <c r="L49" s="191">
        <f t="shared" si="54"/>
        <v>0</v>
      </c>
      <c r="M49" s="237">
        <f t="shared" si="55"/>
        <v>0</v>
      </c>
      <c r="N49" s="55"/>
      <c r="O49" s="236">
        <f>IFERROR('Ανάπτυξη δικτύου'!Y49/'Παραδοχές διείσδυσης - κάλυψης'!J93,0)</f>
        <v>0.41666666666666669</v>
      </c>
      <c r="P49" s="191"/>
      <c r="Q49" s="236">
        <f>IFERROR('Ανάπτυξη δικτύου'!AB49/'Παραδοχές διείσδυσης - κάλυψης'!K93,0)</f>
        <v>0.35714285714285715</v>
      </c>
      <c r="R49" s="191"/>
      <c r="S49" s="236">
        <f>IFERROR('Ανάπτυξη δικτύου'!AE49/'Παραδοχές διείσδυσης - κάλυψης'!L93,0)</f>
        <v>0.41666666666666669</v>
      </c>
      <c r="T49" s="191"/>
      <c r="U49" s="236">
        <f>IFERROR('Ανάπτυξη δικτύου'!AH49/'Παραδοχές διείσδυσης - κάλυψης'!M93,0)</f>
        <v>0.47619047619047616</v>
      </c>
      <c r="V49" s="191"/>
      <c r="W49" s="236">
        <f>IFERROR('Ανάπτυξη δικτύου'!AK49/'Παραδοχές διείσδυσης - κάλυψης'!N93,0)</f>
        <v>0.50595238095238093</v>
      </c>
      <c r="X49" s="191"/>
      <c r="Y49" s="237"/>
    </row>
    <row r="50" spans="2:33" ht="16.5" customHeight="1" outlineLevel="1" x14ac:dyDescent="0.25">
      <c r="B50" s="52" t="s">
        <v>306</v>
      </c>
      <c r="C50" s="138" t="s">
        <v>55</v>
      </c>
      <c r="D50" s="235">
        <f>IFERROR('Ανάπτυξη δικτύου'!E61/'Παραδοχές διείσδυσης - κάλυψης'!D94,0)</f>
        <v>0</v>
      </c>
      <c r="E50" s="236">
        <f>IFERROR('Ανάπτυξη δικτύου'!G61/'Παραδοχές διείσδυσης - κάλυψης'!E94,0)</f>
        <v>0</v>
      </c>
      <c r="F50" s="191">
        <f t="shared" si="51"/>
        <v>0</v>
      </c>
      <c r="G50" s="236">
        <f>IFERROR('Ανάπτυξη δικτύου'!J61/'Παραδοχές διείσδυσης - κάλυψης'!F94,0)</f>
        <v>0</v>
      </c>
      <c r="H50" s="191">
        <f t="shared" si="52"/>
        <v>0</v>
      </c>
      <c r="I50" s="236">
        <f>IFERROR('Ανάπτυξη δικτύου'!M61/'Παραδοχές διείσδυσης - κάλυψης'!G94,0)</f>
        <v>0</v>
      </c>
      <c r="J50" s="191">
        <f t="shared" si="53"/>
        <v>0</v>
      </c>
      <c r="K50" s="236">
        <f>IFERROR('Ανάπτυξη δικτύου'!S61/'Παραδοχές διείσδυσης - κάλυψης'!I94,0)</f>
        <v>0</v>
      </c>
      <c r="L50" s="191">
        <f t="shared" si="54"/>
        <v>0</v>
      </c>
      <c r="M50" s="237">
        <f t="shared" si="55"/>
        <v>0</v>
      </c>
      <c r="N50" s="55"/>
      <c r="O50" s="236">
        <f>IFERROR('Ανάπτυξη δικτύου'!Y50/'Παραδοχές διείσδυσης - κάλυψης'!J94,0)</f>
        <v>0.14285714285714285</v>
      </c>
      <c r="P50" s="191"/>
      <c r="Q50" s="236">
        <f>IFERROR('Ανάπτυξη δικτύου'!AB50/'Παραδοχές διείσδυσης - κάλυψης'!K94,0)</f>
        <v>0.13392857142857142</v>
      </c>
      <c r="R50" s="191"/>
      <c r="S50" s="236">
        <f>IFERROR('Ανάπτυξη δικτύου'!AE50/'Παραδοχές διείσδυσης - κάλυψης'!L94,0)</f>
        <v>0.17857142857142858</v>
      </c>
      <c r="T50" s="191"/>
      <c r="U50" s="236">
        <f>IFERROR('Ανάπτυξη δικτύου'!AH50/'Παραδοχές διείσδυσης - κάλυψης'!M94,0)</f>
        <v>0.21205357142857142</v>
      </c>
      <c r="V50" s="191"/>
      <c r="W50" s="236">
        <f>IFERROR('Ανάπτυξη δικτύου'!AK50/'Παραδοχές διείσδυσης - κάλυψης'!N94,0)</f>
        <v>0.234375</v>
      </c>
      <c r="X50" s="191"/>
      <c r="Y50" s="237"/>
    </row>
    <row r="51" spans="2:33" ht="16.5" customHeight="1" outlineLevel="1" x14ac:dyDescent="0.25">
      <c r="B51" s="52" t="s">
        <v>308</v>
      </c>
      <c r="C51" s="138" t="s">
        <v>55</v>
      </c>
      <c r="D51" s="235">
        <f>IFERROR('Ανάπτυξη δικτύου'!E62/'Παραδοχές διείσδυσης - κάλυψης'!D95,0)</f>
        <v>0</v>
      </c>
      <c r="E51" s="236">
        <f>IFERROR('Ανάπτυξη δικτύου'!G62/'Παραδοχές διείσδυσης - κάλυψης'!E95,0)</f>
        <v>0</v>
      </c>
      <c r="F51" s="191">
        <f t="shared" si="51"/>
        <v>0</v>
      </c>
      <c r="G51" s="236">
        <f>IFERROR('Ανάπτυξη δικτύου'!J62/'Παραδοχές διείσδυσης - κάλυψης'!F95,0)</f>
        <v>0</v>
      </c>
      <c r="H51" s="191">
        <f t="shared" si="52"/>
        <v>0</v>
      </c>
      <c r="I51" s="236">
        <f>IFERROR('Ανάπτυξη δικτύου'!M62/'Παραδοχές διείσδυσης - κάλυψης'!G95,0)</f>
        <v>0</v>
      </c>
      <c r="J51" s="191">
        <f t="shared" si="53"/>
        <v>0</v>
      </c>
      <c r="K51" s="236">
        <f>IFERROR('Ανάπτυξη δικτύου'!S62/'Παραδοχές διείσδυσης - κάλυψης'!I95,0)</f>
        <v>0</v>
      </c>
      <c r="L51" s="191">
        <f t="shared" si="54"/>
        <v>0</v>
      </c>
      <c r="M51" s="237">
        <f t="shared" si="55"/>
        <v>0</v>
      </c>
      <c r="N51" s="55"/>
      <c r="O51" s="236">
        <f>IFERROR('Ανάπτυξη δικτύου'!Y51/'Παραδοχές διείσδυσης - κάλυψης'!J95,0)</f>
        <v>0.14285714285714285</v>
      </c>
      <c r="P51" s="191"/>
      <c r="Q51" s="236">
        <f>IFERROR('Ανάπτυξη δικτύου'!AB51/'Παραδοχές διείσδυσης - κάλυψης'!K95,0)</f>
        <v>0.13392857142857142</v>
      </c>
      <c r="R51" s="191"/>
      <c r="S51" s="236">
        <f>IFERROR('Ανάπτυξη δικτύου'!AE51/'Παραδοχές διείσδυσης - κάλυψης'!L95,0)</f>
        <v>0.18973214285714285</v>
      </c>
      <c r="T51" s="191"/>
      <c r="U51" s="236">
        <f>IFERROR('Ανάπτυξη δικτύου'!AH51/'Παραδοχές διείσδυσης - κάλυψης'!M95,0)</f>
        <v>0.234375</v>
      </c>
      <c r="V51" s="191"/>
      <c r="W51" s="236">
        <f>IFERROR('Ανάπτυξη δικτύου'!AK51/'Παραδοχές διείσδυσης - κάλυψης'!N95,0)</f>
        <v>0.25669642857142855</v>
      </c>
      <c r="X51" s="191"/>
      <c r="Y51" s="237"/>
    </row>
    <row r="52" spans="2:33" ht="16.5" customHeight="1" outlineLevel="1" x14ac:dyDescent="0.25">
      <c r="B52" s="52"/>
      <c r="C52" s="138"/>
      <c r="D52" s="235">
        <f>IFERROR('Ανάπτυξη δικτύου'!E63/'Παραδοχές διείσδυσης - κάλυψης'!D96,0)</f>
        <v>0</v>
      </c>
      <c r="E52" s="236">
        <f>IFERROR('Ανάπτυξη δικτύου'!G63/'Παραδοχές διείσδυσης - κάλυψης'!E96,0)</f>
        <v>0</v>
      </c>
      <c r="F52" s="191">
        <f t="shared" si="51"/>
        <v>0</v>
      </c>
      <c r="G52" s="236">
        <f>IFERROR('Ανάπτυξη δικτύου'!J63/'Παραδοχές διείσδυσης - κάλυψης'!F96,0)</f>
        <v>0</v>
      </c>
      <c r="H52" s="191">
        <f t="shared" si="52"/>
        <v>0</v>
      </c>
      <c r="I52" s="236">
        <f>IFERROR('Ανάπτυξη δικτύου'!M63/'Παραδοχές διείσδυσης - κάλυψης'!G96,0)</f>
        <v>0</v>
      </c>
      <c r="J52" s="191">
        <f t="shared" si="53"/>
        <v>0</v>
      </c>
      <c r="K52" s="236">
        <f>IFERROR('Ανάπτυξη δικτύου'!S63/'Παραδοχές διείσδυσης - κάλυψης'!I96,0)</f>
        <v>0</v>
      </c>
      <c r="L52" s="191">
        <f t="shared" si="54"/>
        <v>0</v>
      </c>
      <c r="M52" s="237">
        <f t="shared" si="55"/>
        <v>0</v>
      </c>
      <c r="N52" s="55"/>
      <c r="O52" s="236">
        <f>IFERROR('Ανάπτυξη δικτύου'!Y52/'Παραδοχές διείσδυσης - κάλυψης'!J96,0)</f>
        <v>0</v>
      </c>
      <c r="P52" s="191"/>
      <c r="Q52" s="236">
        <f>IFERROR('Ανάπτυξη δικτύου'!AB52/'Παραδοχές διείσδυσης - κάλυψης'!K96,0)</f>
        <v>0</v>
      </c>
      <c r="R52" s="191"/>
      <c r="S52" s="236">
        <f>IFERROR('Ανάπτυξη δικτύου'!AE52/'Παραδοχές διείσδυσης - κάλυψης'!L96,0)</f>
        <v>0</v>
      </c>
      <c r="T52" s="191"/>
      <c r="U52" s="236">
        <f>IFERROR('Ανάπτυξη δικτύου'!AH52/'Παραδοχές διείσδυσης - κάλυψης'!M96,0)</f>
        <v>0</v>
      </c>
      <c r="V52" s="191"/>
      <c r="W52" s="236">
        <f>IFERROR('Ανάπτυξη δικτύου'!AK52/'Παραδοχές διείσδυσης - κάλυψης'!N96,0)</f>
        <v>0</v>
      </c>
      <c r="X52" s="191"/>
      <c r="Y52" s="237"/>
    </row>
    <row r="53" spans="2:33" ht="15" customHeight="1" outlineLevel="1" x14ac:dyDescent="0.25">
      <c r="B53" s="437" t="s">
        <v>90</v>
      </c>
      <c r="C53" s="438"/>
      <c r="D53" s="438"/>
      <c r="E53" s="438"/>
      <c r="F53" s="438"/>
      <c r="G53" s="438"/>
      <c r="H53" s="438"/>
      <c r="I53" s="438"/>
      <c r="J53" s="438"/>
      <c r="K53" s="438"/>
      <c r="L53" s="438"/>
      <c r="M53" s="438"/>
      <c r="N53" s="438"/>
      <c r="O53" s="438"/>
      <c r="P53" s="438"/>
      <c r="Q53" s="438"/>
      <c r="R53" s="438"/>
      <c r="S53" s="438"/>
      <c r="T53" s="438"/>
      <c r="U53" s="438"/>
      <c r="V53" s="438"/>
      <c r="W53" s="438"/>
      <c r="X53" s="438"/>
      <c r="Y53" s="439"/>
    </row>
    <row r="54" spans="2:33" ht="15" customHeight="1" outlineLevel="1" x14ac:dyDescent="0.25">
      <c r="B54" s="52" t="s">
        <v>82</v>
      </c>
      <c r="C54" s="49" t="s">
        <v>55</v>
      </c>
      <c r="D54" s="235">
        <f>IFERROR('Ανάπτυξη δικτύου'!E54/'Παραδοχές διείσδυσης - κάλυψης'!D98,0)</f>
        <v>0</v>
      </c>
      <c r="E54" s="236">
        <f>IFERROR('Ανάπτυξη δικτύου'!G54/'Παραδοχές διείσδυσης - κάλυψης'!E98,0)</f>
        <v>0</v>
      </c>
      <c r="F54" s="191">
        <f t="shared" si="29"/>
        <v>0</v>
      </c>
      <c r="G54" s="236">
        <f>IFERROR('Ανάπτυξη δικτύου'!J54/'Παραδοχές διείσδυσης - κάλυψης'!F98,0)</f>
        <v>0</v>
      </c>
      <c r="H54" s="191">
        <f t="shared" si="30"/>
        <v>0</v>
      </c>
      <c r="I54" s="236">
        <f>IFERROR('Ανάπτυξη δικτύου'!M54/'Παραδοχές διείσδυσης - κάλυψης'!G98,0)</f>
        <v>0</v>
      </c>
      <c r="J54" s="191">
        <f t="shared" si="31"/>
        <v>0</v>
      </c>
      <c r="K54" s="236">
        <f>IFERROR('Ανάπτυξη δικτύου'!S54/'Παραδοχές διείσδυσης - κάλυψης'!I98,0)</f>
        <v>0</v>
      </c>
      <c r="L54" s="191">
        <f t="shared" si="32"/>
        <v>0</v>
      </c>
      <c r="M54" s="237">
        <f>IFERROR((K54/D54)^(1/4)-1,0)</f>
        <v>0</v>
      </c>
      <c r="O54" s="236">
        <f>IFERROR('Ανάπτυξη δικτύου'!Y54/'Παραδοχές διείσδυσης - κάλυψης'!J98,0)</f>
        <v>0.56790139483146806</v>
      </c>
      <c r="P54" s="191">
        <f t="shared" si="34"/>
        <v>0</v>
      </c>
      <c r="Q54" s="236">
        <f>IFERROR('Ανάπτυξη δικτύου'!AB54/'Παραδοχές διείσδυσης - κάλυψης'!K98,0)</f>
        <v>0.38713391021375798</v>
      </c>
      <c r="R54" s="191">
        <f t="shared" si="35"/>
        <v>-0.31830787221671664</v>
      </c>
      <c r="S54" s="236">
        <f>IFERROR('Ανάπτυξη δικτύου'!AE54/'Παραδοχές διείσδυσης - κάλυψης'!L98,0)</f>
        <v>0.41622379573699708</v>
      </c>
      <c r="T54" s="191">
        <f t="shared" si="36"/>
        <v>7.5141662240791496E-2</v>
      </c>
      <c r="U54" s="236">
        <f>IFERROR('Ανάπτυξη δικτύου'!AH54/'Παραδοχές διείσδυσης - κάλυψης'!M98,0)</f>
        <v>0.44023453153393582</v>
      </c>
      <c r="V54" s="191">
        <f t="shared" si="37"/>
        <v>5.7687080947458884E-2</v>
      </c>
      <c r="W54" s="236">
        <f>IFERROR('Ανάπτυξη δικτύου'!AK54/'Παραδοχές διείσδυσης - κάλυψης'!N98,0)</f>
        <v>0.46147644255985226</v>
      </c>
      <c r="X54" s="191">
        <f t="shared" si="38"/>
        <v>4.8251351278378735E-2</v>
      </c>
      <c r="Y54" s="237">
        <f t="shared" si="39"/>
        <v>-5.0556446291013413E-2</v>
      </c>
    </row>
    <row r="55" spans="2:33" ht="15" customHeight="1" x14ac:dyDescent="0.25"/>
    <row r="56" spans="2:33" ht="15.75" x14ac:dyDescent="0.25">
      <c r="B56" s="352" t="s">
        <v>94</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row>
    <row r="57" spans="2:33" ht="5.45" customHeight="1" outlineLevel="1" x14ac:dyDescent="0.2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row>
    <row r="58" spans="2:33" ht="14.25" customHeight="1" outlineLevel="1" x14ac:dyDescent="0.25">
      <c r="B58" s="382"/>
      <c r="C58" s="412" t="s">
        <v>20</v>
      </c>
      <c r="D58" s="372" t="s">
        <v>262</v>
      </c>
      <c r="E58" s="373"/>
      <c r="F58" s="373"/>
      <c r="G58" s="373"/>
      <c r="H58" s="373"/>
      <c r="I58" s="373"/>
      <c r="J58" s="374"/>
      <c r="K58" s="373" t="s">
        <v>260</v>
      </c>
      <c r="L58" s="374"/>
      <c r="M58" s="434" t="str">
        <f>"Ετήσιος ρυθμός ανάπτυξης (CAGR) "&amp;($C$3-5)&amp;" - "&amp;(($C$3-1))</f>
        <v>Ετήσιος ρυθμός ανάπτυξης (CAGR) 2018 - 2022</v>
      </c>
      <c r="N58" s="115"/>
      <c r="O58" s="440" t="s">
        <v>261</v>
      </c>
      <c r="P58" s="441"/>
      <c r="Q58" s="441"/>
      <c r="R58" s="441"/>
      <c r="S58" s="441"/>
      <c r="T58" s="441"/>
      <c r="U58" s="441"/>
      <c r="V58" s="441"/>
      <c r="W58" s="441"/>
      <c r="X58" s="442"/>
      <c r="Y58" s="434" t="str">
        <f>"Ετήσιος ρυθμός ανάπτυξης (CAGR) "&amp;$C$3&amp;" - "&amp;$E$3</f>
        <v>Ετήσιος ρυθμός ανάπτυξης (CAGR) 2023 - 2027</v>
      </c>
    </row>
    <row r="59" spans="2:33" ht="15.75" customHeight="1" outlineLevel="1" x14ac:dyDescent="0.25">
      <c r="B59" s="383"/>
      <c r="C59" s="413"/>
      <c r="D59" s="69">
        <f>$C$3-5</f>
        <v>2018</v>
      </c>
      <c r="E59" s="372">
        <f>$C$3-4</f>
        <v>2019</v>
      </c>
      <c r="F59" s="374"/>
      <c r="G59" s="372">
        <f>$C$3-3</f>
        <v>2020</v>
      </c>
      <c r="H59" s="374"/>
      <c r="I59" s="372">
        <f>$C$3+-2</f>
        <v>2021</v>
      </c>
      <c r="J59" s="374"/>
      <c r="K59" s="372">
        <f>$C$3-1</f>
        <v>2022</v>
      </c>
      <c r="L59" s="374"/>
      <c r="M59" s="435"/>
      <c r="N59" s="115"/>
      <c r="O59" s="372">
        <f>$C$3</f>
        <v>2023</v>
      </c>
      <c r="P59" s="374"/>
      <c r="Q59" s="372">
        <f>$C$3+1</f>
        <v>2024</v>
      </c>
      <c r="R59" s="374"/>
      <c r="S59" s="372">
        <f>$C$3+2</f>
        <v>2025</v>
      </c>
      <c r="T59" s="374"/>
      <c r="U59" s="372">
        <f>$C$3+3</f>
        <v>2026</v>
      </c>
      <c r="V59" s="374"/>
      <c r="W59" s="372">
        <f>$C$3+4</f>
        <v>2027</v>
      </c>
      <c r="X59" s="374"/>
      <c r="Y59" s="435"/>
    </row>
    <row r="60" spans="2:33" ht="15" customHeight="1" outlineLevel="1" x14ac:dyDescent="0.25">
      <c r="B60" s="384"/>
      <c r="C60" s="414"/>
      <c r="D60" s="69" t="s">
        <v>93</v>
      </c>
      <c r="E60" s="69" t="s">
        <v>93</v>
      </c>
      <c r="F60" s="68" t="s">
        <v>81</v>
      </c>
      <c r="G60" s="69" t="s">
        <v>93</v>
      </c>
      <c r="H60" s="68" t="s">
        <v>81</v>
      </c>
      <c r="I60" s="69" t="s">
        <v>93</v>
      </c>
      <c r="J60" s="68" t="s">
        <v>81</v>
      </c>
      <c r="K60" s="69" t="s">
        <v>93</v>
      </c>
      <c r="L60" s="68" t="s">
        <v>81</v>
      </c>
      <c r="M60" s="436"/>
      <c r="O60" s="69" t="s">
        <v>93</v>
      </c>
      <c r="P60" s="68" t="s">
        <v>81</v>
      </c>
      <c r="Q60" s="69" t="s">
        <v>93</v>
      </c>
      <c r="R60" s="68" t="s">
        <v>81</v>
      </c>
      <c r="S60" s="69" t="s">
        <v>93</v>
      </c>
      <c r="T60" s="68" t="s">
        <v>81</v>
      </c>
      <c r="U60" s="69" t="s">
        <v>93</v>
      </c>
      <c r="V60" s="68" t="s">
        <v>81</v>
      </c>
      <c r="W60" s="69" t="s">
        <v>93</v>
      </c>
      <c r="X60" s="68" t="s">
        <v>81</v>
      </c>
      <c r="Y60" s="436"/>
    </row>
    <row r="61" spans="2:33" outlineLevel="1" x14ac:dyDescent="0.25">
      <c r="B61" s="281" t="s">
        <v>283</v>
      </c>
      <c r="C61" s="64" t="s">
        <v>55</v>
      </c>
      <c r="D61" s="235">
        <f>IFERROR(('Ανάπτυξη δικτύου'!E38+'Ανάπτυξη δικτύου'!E14)/'Παραδοχές διείσδυσης - κάλυψης'!D82,0)</f>
        <v>0</v>
      </c>
      <c r="E61" s="236">
        <f>IFERROR(('Ανάπτυξη δικτύου'!G38+'Ανάπτυξη δικτύου'!G14)/'Παραδοχές διείσδυσης - κάλυψης'!E82,0)</f>
        <v>0</v>
      </c>
      <c r="F61" s="191">
        <f>IFERROR((E61-D61)/D61,0)</f>
        <v>0</v>
      </c>
      <c r="G61" s="236">
        <f>IFERROR(('Ανάπτυξη δικτύου'!J38+'Ανάπτυξη δικτύου'!J14)/'Παραδοχές διείσδυσης - κάλυψης'!F82,0)</f>
        <v>0</v>
      </c>
      <c r="H61" s="191">
        <f>IFERROR((G61-E61)/E61,0)</f>
        <v>0</v>
      </c>
      <c r="I61" s="236">
        <f>IFERROR(('Ανάπτυξη δικτύου'!M38+'Ανάπτυξη δικτύου'!M14)/'Παραδοχές διείσδυσης - κάλυψης'!G82,0)</f>
        <v>0</v>
      </c>
      <c r="J61" s="191">
        <f>IFERROR((I61-G61)/G61,0)</f>
        <v>0</v>
      </c>
      <c r="K61" s="236">
        <f>IFERROR(('Ανάπτυξη δικτύου'!S38+'Ανάπτυξη δικτύου'!S14)/'Παραδοχές διείσδυσης - κάλυψης'!I82,0)</f>
        <v>0</v>
      </c>
      <c r="L61" s="191">
        <f>IFERROR((K61-I61)/I61,0)</f>
        <v>0</v>
      </c>
      <c r="M61" s="237">
        <f t="shared" ref="M61:M64" si="62">IFERROR((K61/D61)^(1/4)-1,0)</f>
        <v>0</v>
      </c>
      <c r="O61" s="236">
        <f>IFERROR(('Ανάπτυξη δικτύου'!Y38+'Ανάπτυξη δικτύου'!Y14)/'Παραδοχές διείσδυσης - κάλυψης'!J82,0)</f>
        <v>0.43581944444444448</v>
      </c>
      <c r="P61" s="191">
        <f>IFERROR((O61-K61)/K61,0)</f>
        <v>0</v>
      </c>
      <c r="Q61" s="236">
        <f>IFERROR(('Ανάπτυξη δικτύου'!AB38+'Ανάπτυξη δικτύου'!AB14)/'Παραδοχές διείσδυσης - κάλυψης'!K82,0)</f>
        <v>0.37913867081041819</v>
      </c>
      <c r="R61" s="191">
        <f>IFERROR((Q61-O61)/O61,0)</f>
        <v>-0.13005563280059571</v>
      </c>
      <c r="S61" s="236">
        <f>IFERROR(('Ανάπτυξη δικτύου'!AE38+'Ανάπτυξη δικτύου'!AE14)/'Παραδοχές διείσδυσης - κάλυψης'!L82,0)</f>
        <v>0.30184605759792638</v>
      </c>
      <c r="T61" s="191">
        <f>IFERROR((S61-Q61)/Q61,0)</f>
        <v>-0.20386370255315017</v>
      </c>
      <c r="U61" s="236">
        <f>IFERROR(('Ανάπτυξη δικτύου'!AH38+'Ανάπτυξη δικτύου'!AH14)/'Παραδοχές διείσδυσης - κάλυψης'!M82,0)</f>
        <v>0.28009334648376177</v>
      </c>
      <c r="V61" s="191">
        <f>IFERROR((U61-S61)/S61,0)</f>
        <v>-7.2065579677506569E-2</v>
      </c>
      <c r="W61" s="236">
        <f>IFERROR(('Ανάπτυξη δικτύου'!AK38+'Ανάπτυξη δικτύου'!AK14)/'Παραδοχές διείσδυσης - κάλυψης'!N82,0)</f>
        <v>0.26573081269261084</v>
      </c>
      <c r="X61" s="191">
        <f>IFERROR((W61-U61)/U61,0)</f>
        <v>-5.1277668575335444E-2</v>
      </c>
      <c r="Y61" s="237">
        <f>IFERROR((W61/O61)^(1/4)-1,0)</f>
        <v>-0.11634278406766196</v>
      </c>
    </row>
    <row r="62" spans="2:33" outlineLevel="1" x14ac:dyDescent="0.25">
      <c r="B62" s="52" t="s">
        <v>284</v>
      </c>
      <c r="C62" s="64" t="s">
        <v>55</v>
      </c>
      <c r="D62" s="235">
        <f>IFERROR(('Ανάπτυξη δικτύου'!E39+'Ανάπτυξη δικτύου'!E15)/'Παραδοχές διείσδυσης - κάλυψης'!D83,0)</f>
        <v>0</v>
      </c>
      <c r="E62" s="236">
        <f>IFERROR(('Ανάπτυξη δικτύου'!G39+'Ανάπτυξη δικτύου'!G15)/'Παραδοχές διείσδυσης - κάλυψης'!E83,0)</f>
        <v>0</v>
      </c>
      <c r="F62" s="191">
        <f t="shared" ref="F62:F77" si="63">IFERROR((E62-D62)/D62,0)</f>
        <v>0</v>
      </c>
      <c r="G62" s="236">
        <f>IFERROR(('Ανάπτυξη δικτύου'!J39+'Ανάπτυξη δικτύου'!J15)/'Παραδοχές διείσδυσης - κάλυψης'!F83,0)</f>
        <v>0</v>
      </c>
      <c r="H62" s="191">
        <f t="shared" ref="H62:H77" si="64">IFERROR((G62-E62)/E62,0)</f>
        <v>0</v>
      </c>
      <c r="I62" s="236">
        <f>IFERROR(('Ανάπτυξη δικτύου'!M39+'Ανάπτυξη δικτύου'!M15)/'Παραδοχές διείσδυσης - κάλυψης'!G83,0)</f>
        <v>0</v>
      </c>
      <c r="J62" s="191">
        <f t="shared" ref="J62:J77" si="65">IFERROR((I62-G62)/G62,0)</f>
        <v>0</v>
      </c>
      <c r="K62" s="236">
        <f>IFERROR(('Ανάπτυξη δικτύου'!S39+'Ανάπτυξη δικτύου'!S15)/'Παραδοχές διείσδυσης - κάλυψης'!I83,0)</f>
        <v>0</v>
      </c>
      <c r="L62" s="191">
        <f t="shared" ref="L62:L77" si="66">IFERROR((K62-I62)/I62,0)</f>
        <v>0</v>
      </c>
      <c r="M62" s="237">
        <f t="shared" si="62"/>
        <v>0</v>
      </c>
      <c r="N62" s="55"/>
      <c r="O62" s="236">
        <f>IFERROR(('Ανάπτυξη δικτύου'!Y39+'Ανάπτυξη δικτύου'!Y15)/'Παραδοχές διείσδυσης - κάλυψης'!J83,0)</f>
        <v>0.98444144549407697</v>
      </c>
      <c r="P62" s="191">
        <f t="shared" ref="P62:P77" si="67">IFERROR((O62-K62)/K62,0)</f>
        <v>0</v>
      </c>
      <c r="Q62" s="236">
        <f>IFERROR(('Ανάπτυξη δικτύου'!AB39+'Ανάπτυξη δικτύου'!AB15)/'Παραδοχές διείσδυσης - κάλυψης'!K83,0)</f>
        <v>0.56003730773250993</v>
      </c>
      <c r="R62" s="191">
        <f t="shared" ref="R62:R77" si="68">IFERROR((Q62-O62)/O62,0)</f>
        <v>-0.43111161126354725</v>
      </c>
      <c r="S62" s="236">
        <f>IFERROR(('Ανάπτυξη δικτύου'!AE39+'Ανάπτυξη δικτύου'!AE15)/'Παραδοχές διείσδυσης - κάλυψης'!L83,0)</f>
        <v>0.59219914610319124</v>
      </c>
      <c r="T62" s="191">
        <f t="shared" ref="T62:T77" si="69">IFERROR((S62-Q62)/Q62,0)</f>
        <v>5.742802832350366E-2</v>
      </c>
      <c r="U62" s="236">
        <f>IFERROR(('Ανάπτυξη δικτύου'!AH39+'Ανάπτυξη δικτύου'!AH15)/'Παραδοχές διείσδυσης - κάλυψης'!M83,0)</f>
        <v>0.62436098447387245</v>
      </c>
      <c r="V62" s="191">
        <f t="shared" ref="V62:V77" si="70">IFERROR((U62-S62)/S62,0)</f>
        <v>5.4309160326072095E-2</v>
      </c>
      <c r="W62" s="236">
        <f>IFERROR(('Ανάπτυξη δικτύου'!AK39+'Ανάπτυξη δικτύου'!AK15)/'Παραδοχές διείσδυσης - κάλυψης'!N83,0)</f>
        <v>0.65652282284455377</v>
      </c>
      <c r="X62" s="191">
        <f t="shared" ref="X62:X77" si="71">IFERROR((W62-U62)/U62,0)</f>
        <v>5.1511608140894637E-2</v>
      </c>
      <c r="Y62" s="237">
        <f t="shared" ref="Y62:Y77" si="72">IFERROR((W62/O62)^(1/4)-1,0)</f>
        <v>-9.6319346668055528E-2</v>
      </c>
    </row>
    <row r="63" spans="2:33" outlineLevel="1" x14ac:dyDescent="0.25">
      <c r="B63" s="52" t="s">
        <v>285</v>
      </c>
      <c r="C63" s="64" t="s">
        <v>55</v>
      </c>
      <c r="D63" s="235">
        <f>IFERROR(('Ανάπτυξη δικτύου'!E40+'Ανάπτυξη δικτύου'!E16)/'Παραδοχές διείσδυσης - κάλυψης'!D84,0)</f>
        <v>0</v>
      </c>
      <c r="E63" s="236">
        <f>IFERROR(('Ανάπτυξη δικτύου'!G40+'Ανάπτυξη δικτύου'!G16)/'Παραδοχές διείσδυσης - κάλυψης'!E84,0)</f>
        <v>0</v>
      </c>
      <c r="F63" s="191">
        <f t="shared" si="63"/>
        <v>0</v>
      </c>
      <c r="G63" s="236">
        <f>IFERROR(('Ανάπτυξη δικτύου'!J40+'Ανάπτυξη δικτύου'!J16)/'Παραδοχές διείσδυσης - κάλυψης'!F84,0)</f>
        <v>0</v>
      </c>
      <c r="H63" s="191">
        <f t="shared" si="64"/>
        <v>0</v>
      </c>
      <c r="I63" s="236">
        <f>IFERROR(('Ανάπτυξη δικτύου'!M40+'Ανάπτυξη δικτύου'!M16)/'Παραδοχές διείσδυσης - κάλυψης'!G84,0)</f>
        <v>0</v>
      </c>
      <c r="J63" s="191">
        <f t="shared" si="65"/>
        <v>0</v>
      </c>
      <c r="K63" s="236">
        <f>IFERROR(('Ανάπτυξη δικτύου'!S40+'Ανάπτυξη δικτύου'!S16)/'Παραδοχές διείσδυσης - κάλυψης'!I84,0)</f>
        <v>0</v>
      </c>
      <c r="L63" s="191">
        <f t="shared" si="66"/>
        <v>0</v>
      </c>
      <c r="M63" s="237">
        <f t="shared" si="62"/>
        <v>0</v>
      </c>
      <c r="O63" s="236">
        <f>IFERROR(('Ανάπτυξη δικτύου'!Y40+'Ανάπτυξη δικτύου'!Y16)/'Παραδοχές διείσδυσης - κάλυψης'!J84,0)</f>
        <v>0.94515939421202577</v>
      </c>
      <c r="P63" s="191">
        <f t="shared" si="67"/>
        <v>0</v>
      </c>
      <c r="Q63" s="236">
        <f>IFERROR(('Ανάπτυξη δικτύου'!AB40+'Ανάπτυξη δικτύου'!AB16)/'Παραδοχές διείσδυσης - κάλυψης'!K84,0)</f>
        <v>0.5389735549283996</v>
      </c>
      <c r="R63" s="191">
        <f t="shared" si="68"/>
        <v>-0.42975379790015322</v>
      </c>
      <c r="S63" s="236">
        <f>IFERROR(('Ανάπτυξη δικτύου'!AE40+'Ανάπτυξη δικτύου'!AE16)/'Παραδοχές διείσδυσης - κάλυψης'!L84,0)</f>
        <v>0.57113539329908092</v>
      </c>
      <c r="T63" s="191">
        <f t="shared" si="69"/>
        <v>5.9672386662744305E-2</v>
      </c>
      <c r="U63" s="236">
        <f>IFERROR(('Ανάπτυξη δικτύου'!AH40+'Ανάπτυξη δικτύου'!AH16)/'Παραδοχές διείσδυσης - κάλυψης'!M84,0)</f>
        <v>0.60329723166976224</v>
      </c>
      <c r="V63" s="191">
        <f t="shared" si="70"/>
        <v>5.6312108736429577E-2</v>
      </c>
      <c r="W63" s="236">
        <f>IFERROR(('Ανάπτυξη δικτύου'!AK40+'Ανάπτυξη δικτύου'!AK16)/'Παραδοχές διείσδυσης - κάλυψης'!N84,0)</f>
        <v>0.63545907004044344</v>
      </c>
      <c r="X63" s="191">
        <f t="shared" si="71"/>
        <v>5.3310104343867133E-2</v>
      </c>
      <c r="Y63" s="237">
        <f t="shared" si="72"/>
        <v>-9.448503538415276E-2</v>
      </c>
    </row>
    <row r="64" spans="2:33" ht="16.5" customHeight="1" outlineLevel="1" x14ac:dyDescent="0.25">
      <c r="B64" s="52" t="s">
        <v>286</v>
      </c>
      <c r="C64" s="138" t="s">
        <v>55</v>
      </c>
      <c r="D64" s="235">
        <f>IFERROR(('Ανάπτυξη δικτύου'!E46+'Ανάπτυξη δικτύου'!E22)/'Παραδοχές διείσδυσης - κάλυψης'!D85,0)</f>
        <v>0</v>
      </c>
      <c r="E64" s="236">
        <f>IFERROR(('Ανάπτυξη δικτύου'!G46+'Ανάπτυξη δικτύου'!G22)/'Παραδοχές διείσδυσης - κάλυψης'!E85,0)</f>
        <v>0</v>
      </c>
      <c r="F64" s="191">
        <f t="shared" si="63"/>
        <v>0</v>
      </c>
      <c r="G64" s="236">
        <f>IFERROR(('Ανάπτυξη δικτύου'!J46+'Ανάπτυξη δικτύου'!J22)/'Παραδοχές διείσδυσης - κάλυψης'!F85,0)</f>
        <v>0</v>
      </c>
      <c r="H64" s="191">
        <f t="shared" si="64"/>
        <v>0</v>
      </c>
      <c r="I64" s="236">
        <f>IFERROR(('Ανάπτυξη δικτύου'!M46+'Ανάπτυξη δικτύου'!M22)/'Παραδοχές διείσδυσης - κάλυψης'!G85,0)</f>
        <v>0</v>
      </c>
      <c r="J64" s="191">
        <f t="shared" si="65"/>
        <v>0</v>
      </c>
      <c r="K64" s="236">
        <f>IFERROR(('Ανάπτυξη δικτύου'!S46+'Ανάπτυξη δικτύου'!S22)/'Παραδοχές διείσδυσης - κάλυψης'!I85,0)</f>
        <v>0</v>
      </c>
      <c r="L64" s="191">
        <f t="shared" si="66"/>
        <v>0</v>
      </c>
      <c r="M64" s="237">
        <f t="shared" si="62"/>
        <v>0</v>
      </c>
      <c r="N64" s="55"/>
      <c r="O64" s="236">
        <f>IFERROR(('Ανάπτυξη δικτύου'!Y41+'Ανάπτυξη δικτύου'!Y17)/'Παραδοχές διείσδυσης - κάλυψης'!J85,0)</f>
        <v>0.79063236957973804</v>
      </c>
      <c r="P64" s="191">
        <f t="shared" si="67"/>
        <v>0</v>
      </c>
      <c r="Q64" s="236">
        <f>IFERROR(('Ανάπτυξη δικτύου'!AB41+'Ανάπτυξη δικτύου'!AB17)/'Παραδοχές διείσδυσης - κάλυψης'!K85,0)</f>
        <v>0.49412607626835986</v>
      </c>
      <c r="R64" s="191">
        <f t="shared" si="68"/>
        <v>-0.37502422708671362</v>
      </c>
      <c r="S64" s="236">
        <f>IFERROR(('Ανάπτυξη δικτύου'!AE41+'Ανάπτυξη δικτύου'!AE17)/'Παραδοχές διείσδυσης - κάλυψης'!L85,0)</f>
        <v>0.51059694547730516</v>
      </c>
      <c r="T64" s="191">
        <f t="shared" si="69"/>
        <v>3.3333333333333284E-2</v>
      </c>
      <c r="U64" s="236">
        <f>IFERROR(('Ανάπτυξη δικτύου'!AH41+'Ανάπτυξη δικτύου'!AH17)/'Παραδοχές διείσδυσης - κάλυψης'!M85,0)</f>
        <v>0.52706781468625052</v>
      </c>
      <c r="V64" s="191">
        <f t="shared" si="70"/>
        <v>3.2258064516129094E-2</v>
      </c>
      <c r="W64" s="236">
        <f>IFERROR(('Ανάπτυξη δικτύου'!AK41+'Ανάπτυξη δικτύου'!AK17)/'Παραδοχές διείσδυσης - κάλυψης'!N85,0)</f>
        <v>0.54353868389519588</v>
      </c>
      <c r="X64" s="191">
        <f t="shared" si="71"/>
        <v>3.1250000000000062E-2</v>
      </c>
      <c r="Y64" s="237">
        <f t="shared" si="72"/>
        <v>-8.9428680990976672E-2</v>
      </c>
    </row>
    <row r="65" spans="2:33" outlineLevel="1" x14ac:dyDescent="0.25">
      <c r="B65" s="52" t="s">
        <v>287</v>
      </c>
      <c r="C65" s="64" t="s">
        <v>55</v>
      </c>
      <c r="D65" s="235">
        <f>IFERROR(('Ανάπτυξη δικτύου'!E42+'Ανάπτυξη δικτύου'!E18)/'Παραδοχές διείσδυσης - κάλυψης'!D86,0)</f>
        <v>0</v>
      </c>
      <c r="E65" s="236">
        <f>IFERROR(('Ανάπτυξη δικτύου'!G42+'Ανάπτυξη δικτύου'!G18)/'Παραδοχές διείσδυσης - κάλυψης'!E86,0)</f>
        <v>0</v>
      </c>
      <c r="F65" s="191">
        <f>IFERROR((E65-D65)/D65,0)</f>
        <v>0</v>
      </c>
      <c r="G65" s="236">
        <f>IFERROR(('Ανάπτυξη δικτύου'!J42+'Ανάπτυξη δικτύου'!J18)/'Παραδοχές διείσδυσης - κάλυψης'!F86,0)</f>
        <v>0</v>
      </c>
      <c r="H65" s="191">
        <f>IFERROR((G65-E65)/E65,0)</f>
        <v>0</v>
      </c>
      <c r="I65" s="236">
        <f>IFERROR(('Ανάπτυξη δικτύου'!M42+'Ανάπτυξη δικτύου'!M18)/'Παραδοχές διείσδυσης - κάλυψης'!G86,0)</f>
        <v>0</v>
      </c>
      <c r="J65" s="191">
        <f>IFERROR((I65-G65)/G65,0)</f>
        <v>0</v>
      </c>
      <c r="K65" s="236">
        <f>IFERROR(('Ανάπτυξη δικτύου'!S42+'Ανάπτυξη δικτύου'!S18)/'Παραδοχές διείσδυσης - κάλυψης'!I86,0)</f>
        <v>0</v>
      </c>
      <c r="L65" s="191">
        <f>IFERROR((K65-I65)/I65,0)</f>
        <v>0</v>
      </c>
      <c r="M65" s="237">
        <f t="shared" ref="M65:M68" si="73">IFERROR((K65/D65)^(1/4)-1,0)</f>
        <v>0</v>
      </c>
      <c r="O65" s="236">
        <f>IFERROR(('Ανάπτυξη δικτύου'!Y42+'Ανάπτυξη δικτύου'!Y18)/'Παραδοχές διείσδυσης - κάλυψης'!J86,0)</f>
        <v>0.5924755603831342</v>
      </c>
      <c r="P65" s="191">
        <f>IFERROR((O65-K65)/K65,0)</f>
        <v>0</v>
      </c>
      <c r="Q65" s="236">
        <f>IFERROR(('Ανάπτυξη δικτύου'!AB42+'Ανάπτυξη δικτύου'!AB18)/'Παραδοχές διείσδυσης - κάλυψης'!K86,0)</f>
        <v>0.40226850704508638</v>
      </c>
      <c r="R65" s="191">
        <f>IFERROR((Q65-O65)/O65,0)</f>
        <v>-0.32103780485906841</v>
      </c>
      <c r="S65" s="236">
        <f>IFERROR(('Ανάπτυξη δικτύου'!AE42+'Ανάπτυξη δικτύου'!AE18)/'Παραδοχές διείσδυσης - κάλυψης'!L86,0)</f>
        <v>0.41663523943955377</v>
      </c>
      <c r="T65" s="191">
        <f>IFERROR((S65-Q65)/Q65,0)</f>
        <v>3.5714285714285782E-2</v>
      </c>
      <c r="U65" s="236">
        <f>IFERROR(('Ανάπτυξη δικτύου'!AH42+'Ανάπτυξη δικτύου'!AH18)/'Παραδοχές διείσδυσης - κάλυψης'!M86,0)</f>
        <v>0.43100197183402111</v>
      </c>
      <c r="V65" s="191">
        <f>IFERROR((U65-S65)/S65,0)</f>
        <v>3.4482758620689578E-2</v>
      </c>
      <c r="W65" s="236">
        <f>IFERROR(('Ανάπτυξη δικτύου'!AK42+'Ανάπτυξη δικτύου'!AK18)/'Παραδοχές διείσδυσης - κάλυψης'!N86,0)</f>
        <v>0.44536870422848851</v>
      </c>
      <c r="X65" s="191">
        <f>IFERROR((W65-U65)/U65,0)</f>
        <v>3.3333333333333395E-2</v>
      </c>
      <c r="Y65" s="237">
        <f>IFERROR((W65/O65)^(1/4)-1,0)</f>
        <v>-6.8865723616336361E-2</v>
      </c>
    </row>
    <row r="66" spans="2:33" outlineLevel="1" x14ac:dyDescent="0.25">
      <c r="B66" s="52" t="s">
        <v>288</v>
      </c>
      <c r="C66" s="64" t="s">
        <v>55</v>
      </c>
      <c r="D66" s="235">
        <f>IFERROR(('Ανάπτυξη δικτύου'!E43+'Ανάπτυξη δικτύου'!E19)/'Παραδοχές διείσδυσης - κάλυψης'!D87,0)</f>
        <v>0</v>
      </c>
      <c r="E66" s="236">
        <f>IFERROR(('Ανάπτυξη δικτύου'!G43+'Ανάπτυξη δικτύου'!G19)/'Παραδοχές διείσδυσης - κάλυψης'!E87,0)</f>
        <v>0</v>
      </c>
      <c r="F66" s="191">
        <f t="shared" ref="F66:F68" si="74">IFERROR((E66-D66)/D66,0)</f>
        <v>0</v>
      </c>
      <c r="G66" s="236">
        <f>IFERROR(('Ανάπτυξη δικτύου'!J43+'Ανάπτυξη δικτύου'!J19)/'Παραδοχές διείσδυσης - κάλυψης'!F87,0)</f>
        <v>0</v>
      </c>
      <c r="H66" s="191">
        <f t="shared" ref="H66:H68" si="75">IFERROR((G66-E66)/E66,0)</f>
        <v>0</v>
      </c>
      <c r="I66" s="236">
        <f>IFERROR(('Ανάπτυξη δικτύου'!M43+'Ανάπτυξη δικτύου'!M19)/'Παραδοχές διείσδυσης - κάλυψης'!G87,0)</f>
        <v>0</v>
      </c>
      <c r="J66" s="191">
        <f t="shared" ref="J66:J68" si="76">IFERROR((I66-G66)/G66,0)</f>
        <v>0</v>
      </c>
      <c r="K66" s="236">
        <f>IFERROR(('Ανάπτυξη δικτύου'!S43+'Ανάπτυξη δικτύου'!S19)/'Παραδοχές διείσδυσης - κάλυψης'!I87,0)</f>
        <v>0</v>
      </c>
      <c r="L66" s="191">
        <f t="shared" ref="L66:L68" si="77">IFERROR((K66-I66)/I66,0)</f>
        <v>0</v>
      </c>
      <c r="M66" s="237">
        <f t="shared" si="73"/>
        <v>0</v>
      </c>
      <c r="N66" s="55"/>
      <c r="O66" s="236">
        <f>IFERROR(('Ανάπτυξη δικτύου'!Y43+'Ανάπτυξη δικτύου'!Y19)/'Παραδοχές διείσδυσης - κάλυψης'!J87,0)</f>
        <v>0.69771940828060464</v>
      </c>
      <c r="P66" s="191">
        <f t="shared" ref="P66:P68" si="78">IFERROR((O66-K66)/K66,0)</f>
        <v>0</v>
      </c>
      <c r="Q66" s="236">
        <f>IFERROR(('Ανάπτυξη δικτύου'!AB43+'Ανάπτυξη δικτύου'!AB19)/'Παραδοχές διείσδυσης - κάλυψης'!K87,0)</f>
        <v>0.53069156662927885</v>
      </c>
      <c r="R66" s="191">
        <f t="shared" ref="R66:R68" si="79">IFERROR((Q66-O66)/O66,0)</f>
        <v>-0.23939113584776692</v>
      </c>
      <c r="S66" s="236">
        <f>IFERROR(('Ανάπτυξη δικτύου'!AE43+'Ανάπτυξη δικτύου'!AE19)/'Παραδοχές διείσδυσης - κάλυψης'!L87,0)</f>
        <v>0.60720419157583005</v>
      </c>
      <c r="T66" s="191">
        <f t="shared" ref="T66:T68" si="80">IFERROR((S66-Q66)/Q66,0)</f>
        <v>0.14417531718569787</v>
      </c>
      <c r="U66" s="236">
        <f>IFERROR(('Ανάπτυξη δικτύου'!AH43+'Ανάπτυξη δικτύου'!AH19)/'Παραδοχές διείσδυσης - κάλυψης'!M87,0)</f>
        <v>0.6454605040491056</v>
      </c>
      <c r="V66" s="191">
        <f t="shared" ref="V66:V68" si="81">IFERROR((U66-S66)/S66,0)</f>
        <v>6.3004032258064446E-2</v>
      </c>
      <c r="W66" s="236">
        <f>IFERROR(('Ανάπτυξη δικτύου'!AK43+'Ανάπτυξη δικτύου'!AK19)/'Παραδοχές διείσδυσης - κάλυψης'!N87,0)</f>
        <v>0.68371681652238114</v>
      </c>
      <c r="X66" s="191">
        <f t="shared" ref="X66:X68" si="82">IFERROR((W66-U66)/U66,0)</f>
        <v>5.9269796111901321E-2</v>
      </c>
      <c r="Y66" s="237">
        <f t="shared" ref="Y66:Y68" si="83">IFERROR((W66/O66)^(1/4)-1,0)</f>
        <v>-5.0554796073211117E-3</v>
      </c>
    </row>
    <row r="67" spans="2:33" outlineLevel="1" x14ac:dyDescent="0.25">
      <c r="B67" s="52" t="s">
        <v>289</v>
      </c>
      <c r="C67" s="64" t="s">
        <v>55</v>
      </c>
      <c r="D67" s="235">
        <f>IFERROR(('Ανάπτυξη δικτύου'!E44+'Ανάπτυξη δικτύου'!E20)/'Παραδοχές διείσδυσης - κάλυψης'!D88,0)</f>
        <v>0</v>
      </c>
      <c r="E67" s="236">
        <f>IFERROR(('Ανάπτυξη δικτύου'!G44+'Ανάπτυξη δικτύου'!G20)/'Παραδοχές διείσδυσης - κάλυψης'!E88,0)</f>
        <v>0</v>
      </c>
      <c r="F67" s="191">
        <f t="shared" si="74"/>
        <v>0</v>
      </c>
      <c r="G67" s="236">
        <f>IFERROR(('Ανάπτυξη δικτύου'!J44+'Ανάπτυξη δικτύου'!J20)/'Παραδοχές διείσδυσης - κάλυψης'!F88,0)</f>
        <v>0</v>
      </c>
      <c r="H67" s="191">
        <f t="shared" si="75"/>
        <v>0</v>
      </c>
      <c r="I67" s="236">
        <f>IFERROR(('Ανάπτυξη δικτύου'!M44+'Ανάπτυξη δικτύου'!M20)/'Παραδοχές διείσδυσης - κάλυψης'!G88,0)</f>
        <v>0</v>
      </c>
      <c r="J67" s="191">
        <f t="shared" si="76"/>
        <v>0</v>
      </c>
      <c r="K67" s="236">
        <f>IFERROR(('Ανάπτυξη δικτύου'!S44+'Ανάπτυξη δικτύου'!S20)/'Παραδοχές διείσδυσης - κάλυψης'!I88,0)</f>
        <v>0</v>
      </c>
      <c r="L67" s="191">
        <f t="shared" si="77"/>
        <v>0</v>
      </c>
      <c r="M67" s="237">
        <f t="shared" si="73"/>
        <v>0</v>
      </c>
      <c r="O67" s="236">
        <f>IFERROR(('Ανάπτυξη δικτύου'!Y44+'Ανάπτυξη δικτύου'!Y20)/'Παραδοχές διείσδυσης - κάλυψης'!J88,0)</f>
        <v>0.79995399046231253</v>
      </c>
      <c r="P67" s="191">
        <f t="shared" si="78"/>
        <v>0</v>
      </c>
      <c r="Q67" s="236">
        <f>IFERROR(('Ανάπτυξη δικτύου'!AB44+'Ανάπτυξη δικτύου'!AB20)/'Παραδοχές διείσδυσης - κάλυψης'!K88,0)</f>
        <v>0.51087158233329211</v>
      </c>
      <c r="R67" s="191">
        <f t="shared" si="79"/>
        <v>-0.36137379346273751</v>
      </c>
      <c r="S67" s="236">
        <f>IFERROR(('Ανάπτυξη δικτύου'!AE44+'Ανάπτυξη δικτύου'!AE20)/'Παραδοχές διείσδυσης - κάλυψης'!L88,0)</f>
        <v>0.52673266463010371</v>
      </c>
      <c r="T67" s="191">
        <f t="shared" si="80"/>
        <v>3.1047102335130177E-2</v>
      </c>
      <c r="U67" s="236">
        <f>IFERROR(('Ανάπτυξη δικτύου'!AH44+'Ανάπτυξη δικτύου'!AH20)/'Παραδοχές διείσδυσης - κάλυψης'!M88,0)</f>
        <v>0.54259374692691531</v>
      </c>
      <c r="V67" s="191">
        <f t="shared" si="81"/>
        <v>3.011220560613987E-2</v>
      </c>
      <c r="W67" s="236">
        <f>IFERROR(('Ανάπτυξη δικτύου'!AK44+'Ανάπτυξη δικτύου'!AK20)/'Παραδοχές διείσδυσης - κάλυψης'!N88,0)</f>
        <v>0.55845482922372691</v>
      </c>
      <c r="X67" s="191">
        <f t="shared" si="82"/>
        <v>2.9231966617094117E-2</v>
      </c>
      <c r="Y67" s="237">
        <f t="shared" si="83"/>
        <v>-8.5927253554700767E-2</v>
      </c>
    </row>
    <row r="68" spans="2:33" ht="16.5" customHeight="1" outlineLevel="1" x14ac:dyDescent="0.25">
      <c r="B68" s="52" t="s">
        <v>290</v>
      </c>
      <c r="C68" s="138" t="s">
        <v>55</v>
      </c>
      <c r="D68" s="235">
        <f>IFERROR(('Ανάπτυξη δικτύου'!E56+'Ανάπτυξη δικτύου'!E32)/'Παραδοχές διείσδυσης - κάλυψης'!D89,0)</f>
        <v>0</v>
      </c>
      <c r="E68" s="236">
        <f>IFERROR(('Ανάπτυξη δικτύου'!G56+'Ανάπτυξη δικτύου'!G32)/'Παραδοχές διείσδυσης - κάλυψης'!E89,0)</f>
        <v>0</v>
      </c>
      <c r="F68" s="191">
        <f t="shared" si="74"/>
        <v>0</v>
      </c>
      <c r="G68" s="236">
        <f>IFERROR(('Ανάπτυξη δικτύου'!J56+'Ανάπτυξη δικτύου'!J32)/'Παραδοχές διείσδυσης - κάλυψης'!F89,0)</f>
        <v>0</v>
      </c>
      <c r="H68" s="191">
        <f t="shared" si="75"/>
        <v>0</v>
      </c>
      <c r="I68" s="236">
        <f>IFERROR(('Ανάπτυξη δικτύου'!M56+'Ανάπτυξη δικτύου'!M32)/'Παραδοχές διείσδυσης - κάλυψης'!G89,0)</f>
        <v>0</v>
      </c>
      <c r="J68" s="191">
        <f t="shared" si="76"/>
        <v>0</v>
      </c>
      <c r="K68" s="236">
        <f>IFERROR(('Ανάπτυξη δικτύου'!S56+'Ανάπτυξη δικτύου'!S32)/'Παραδοχές διείσδυσης - κάλυψης'!I89,0)</f>
        <v>0</v>
      </c>
      <c r="L68" s="191">
        <f t="shared" si="77"/>
        <v>0</v>
      </c>
      <c r="M68" s="237">
        <f t="shared" si="73"/>
        <v>0</v>
      </c>
      <c r="N68" s="55"/>
      <c r="O68" s="236">
        <f>IFERROR(('Ανάπτυξη δικτύου'!Y45+'Ανάπτυξη δικτύου'!Y21)/'Παραδοχές διείσδυσης - κάλυψης'!J89,0)</f>
        <v>0.81261880922322349</v>
      </c>
      <c r="P68" s="191">
        <f t="shared" si="78"/>
        <v>0</v>
      </c>
      <c r="Q68" s="236">
        <f>IFERROR(('Ανάπτυξη δικτύου'!AB45+'Ανάπτυξη δικτύου'!AB21)/'Παραδοχές διείσδυσης - κάλυψης'!K89,0)</f>
        <v>0.49580913058159265</v>
      </c>
      <c r="R68" s="191">
        <f t="shared" si="79"/>
        <v>-0.38986259614697688</v>
      </c>
      <c r="S68" s="236">
        <f>IFERROR(('Ανάπτυξη δικτύου'!AE45+'Ανάπτυξη δικτύου'!AE21)/'Παραδοχές διείσδυσης - κάλυψης'!L89,0)</f>
        <v>0.51290599715337171</v>
      </c>
      <c r="T68" s="191">
        <f t="shared" si="80"/>
        <v>3.4482758620689655E-2</v>
      </c>
      <c r="U68" s="236">
        <f>IFERROR(('Ανάπτυξη δικτύου'!AH45+'Ανάπτυξη δικτύου'!AH21)/'Παραδοχές διείσδυσης - κάλυψης'!M89,0)</f>
        <v>0.53000286372515082</v>
      </c>
      <c r="V68" s="191">
        <f t="shared" si="81"/>
        <v>3.3333333333333444E-2</v>
      </c>
      <c r="W68" s="236">
        <f>IFERROR(('Ανάπτυξη δικτύου'!AK45+'Ανάπτυξη δικτύου'!AK21)/'Παραδοχές διείσδυσης - κάλυψης'!N89,0)</f>
        <v>0.54709973029692982</v>
      </c>
      <c r="X68" s="191">
        <f t="shared" si="82"/>
        <v>3.2258064516128927E-2</v>
      </c>
      <c r="Y68" s="237">
        <f t="shared" si="83"/>
        <v>-9.4173738373324656E-2</v>
      </c>
    </row>
    <row r="69" spans="2:33" ht="16.5" customHeight="1" outlineLevel="1" x14ac:dyDescent="0.25">
      <c r="B69" s="52" t="s">
        <v>291</v>
      </c>
      <c r="C69" s="138" t="s">
        <v>55</v>
      </c>
      <c r="D69" s="235">
        <f>IFERROR(('Ανάπτυξη δικτύου'!E57+'Ανάπτυξη δικτύου'!E33)/'Παραδοχές διείσδυσης - κάλυψης'!D90,0)</f>
        <v>0</v>
      </c>
      <c r="E69" s="236">
        <f>IFERROR(('Ανάπτυξη δικτύου'!G57+'Ανάπτυξη δικτύου'!G33)/'Παραδοχές διείσδυσης - κάλυψης'!E90,0)</f>
        <v>0</v>
      </c>
      <c r="F69" s="191">
        <f t="shared" ref="F69:F75" si="84">IFERROR((E69-D69)/D69,0)</f>
        <v>0</v>
      </c>
      <c r="G69" s="236">
        <f>IFERROR(('Ανάπτυξη δικτύου'!J57+'Ανάπτυξη δικτύου'!J33)/'Παραδοχές διείσδυσης - κάλυψης'!F90,0)</f>
        <v>0</v>
      </c>
      <c r="H69" s="191">
        <f t="shared" ref="H69:H75" si="85">IFERROR((G69-E69)/E69,0)</f>
        <v>0</v>
      </c>
      <c r="I69" s="236">
        <f>IFERROR(('Ανάπτυξη δικτύου'!M57+'Ανάπτυξη δικτύου'!M33)/'Παραδοχές διείσδυσης - κάλυψης'!G90,0)</f>
        <v>0</v>
      </c>
      <c r="J69" s="191">
        <f t="shared" ref="J69:J75" si="86">IFERROR((I69-G69)/G69,0)</f>
        <v>0</v>
      </c>
      <c r="K69" s="236">
        <f>IFERROR(('Ανάπτυξη δικτύου'!S57+'Ανάπτυξη δικτύου'!S33)/'Παραδοχές διείσδυσης - κάλυψης'!I90,0)</f>
        <v>0</v>
      </c>
      <c r="L69" s="191">
        <f t="shared" ref="L69:L75" si="87">IFERROR((K69-I69)/I69,0)</f>
        <v>0</v>
      </c>
      <c r="M69" s="237">
        <f t="shared" ref="M69:M75" si="88">IFERROR((K69/D69)^(1/4)-1,0)</f>
        <v>0</v>
      </c>
      <c r="N69" s="55"/>
      <c r="O69" s="236">
        <f>IFERROR(('Ανάπτυξη δικτύου'!Y46+'Ανάπτυξη δικτύου'!Y22)/'Παραδοχές διείσδυσης - κάλυψης'!J90,0)</f>
        <v>0.68893534775362353</v>
      </c>
      <c r="P69" s="191">
        <f t="shared" ref="P69" si="89">IFERROR((O69-K69)/K69,0)</f>
        <v>0</v>
      </c>
      <c r="Q69" s="236">
        <f>IFERROR(('Ανάπτυξη δικτύου'!AB46+'Ανάπτυξη δικτύου'!AB22)/'Παραδοχές διείσδυσης - κάλυψης'!K90,0)</f>
        <v>0.68893534775362353</v>
      </c>
      <c r="R69" s="191">
        <f t="shared" ref="R69" si="90">IFERROR((Q69-O69)/O69,0)</f>
        <v>0</v>
      </c>
      <c r="S69" s="236">
        <f>IFERROR(('Ανάπτυξη δικτύου'!AE46+'Ανάπτυξη δικτύου'!AE22)/'Παραδοχές διείσδυσης - κάλυψης'!L90,0)</f>
        <v>0.68893534775362353</v>
      </c>
      <c r="T69" s="191">
        <f t="shared" ref="T69" si="91">IFERROR((S69-Q69)/Q69,0)</f>
        <v>0</v>
      </c>
      <c r="U69" s="236">
        <f>IFERROR(('Ανάπτυξη δικτύου'!AH46+'Ανάπτυξη δικτύου'!AH22)/'Παραδοχές διείσδυσης - κάλυψης'!M90,0)</f>
        <v>0.68893534775362353</v>
      </c>
      <c r="V69" s="191">
        <f t="shared" ref="V69" si="92">IFERROR((U69-S69)/S69,0)</f>
        <v>0</v>
      </c>
      <c r="W69" s="236">
        <f>IFERROR(('Ανάπτυξη δικτύου'!AK46+'Ανάπτυξη δικτύου'!AK22)/'Παραδοχές διείσδυσης - κάλυψης'!N90,0)</f>
        <v>0.68893534775362353</v>
      </c>
      <c r="X69" s="191">
        <f t="shared" ref="X69" si="93">IFERROR((W69-U69)/U69,0)</f>
        <v>0</v>
      </c>
      <c r="Y69" s="237">
        <f t="shared" ref="Y69" si="94">IFERROR((W69/O69)^(1/4)-1,0)</f>
        <v>0</v>
      </c>
    </row>
    <row r="70" spans="2:33" ht="16.5" customHeight="1" outlineLevel="1" x14ac:dyDescent="0.25">
      <c r="B70" s="52" t="s">
        <v>307</v>
      </c>
      <c r="C70" s="138" t="s">
        <v>55</v>
      </c>
      <c r="D70" s="235">
        <f>IFERROR(('Ανάπτυξη δικτύου'!E58+'Ανάπτυξη δικτύου'!E34)/'Παραδοχές διείσδυσης - κάλυψης'!D91,0)</f>
        <v>0</v>
      </c>
      <c r="E70" s="236">
        <f>IFERROR(('Ανάπτυξη δικτύου'!G58+'Ανάπτυξη δικτύου'!G34)/'Παραδοχές διείσδυσης - κάλυψης'!E91,0)</f>
        <v>0</v>
      </c>
      <c r="F70" s="191">
        <f t="shared" si="84"/>
        <v>0</v>
      </c>
      <c r="G70" s="236">
        <f>IFERROR(('Ανάπτυξη δικτύου'!J58+'Ανάπτυξη δικτύου'!J34)/'Παραδοχές διείσδυσης - κάλυψης'!F91,0)</f>
        <v>0</v>
      </c>
      <c r="H70" s="191">
        <f t="shared" si="85"/>
        <v>0</v>
      </c>
      <c r="I70" s="236">
        <f>IFERROR(('Ανάπτυξη δικτύου'!M58+'Ανάπτυξη δικτύου'!M34)/'Παραδοχές διείσδυσης - κάλυψης'!G91,0)</f>
        <v>0</v>
      </c>
      <c r="J70" s="191">
        <f t="shared" si="86"/>
        <v>0</v>
      </c>
      <c r="K70" s="236">
        <f>IFERROR(('Ανάπτυξη δικτύου'!S58+'Ανάπτυξη δικτύου'!S34)/'Παραδοχές διείσδυσης - κάλυψης'!I91,0)</f>
        <v>0</v>
      </c>
      <c r="L70" s="191">
        <f t="shared" si="87"/>
        <v>0</v>
      </c>
      <c r="M70" s="237">
        <f t="shared" si="88"/>
        <v>0</v>
      </c>
      <c r="N70" s="55"/>
      <c r="O70" s="236">
        <f>IFERROR(('Ανάπτυξη δικτύου'!Y47+'Ανάπτυξη δικτύου'!Y23)/'Παραδοχές διείσδυσης - κάλυψης'!J91,0)</f>
        <v>0.32738095238095238</v>
      </c>
      <c r="P70" s="191"/>
      <c r="Q70" s="236">
        <f>IFERROR(('Ανάπτυξη δικτύου'!AB47+'Ανάπτυξη δικτύου'!AB23)/'Παραδοχές διείσδυσης - κάλυψης'!K91,0)</f>
        <v>0.26785714285714285</v>
      </c>
      <c r="R70" s="191"/>
      <c r="S70" s="236">
        <f>IFERROR(('Ανάπτυξη δικτύου'!AE47+'Ανάπτυξη δικτύου'!AE23)/'Παραδοχές διείσδυσης - κάλυψης'!L91,0)</f>
        <v>0.35714285714285715</v>
      </c>
      <c r="T70" s="191"/>
      <c r="U70" s="236">
        <f>IFERROR(('Ανάπτυξη δικτύου'!AH47+'Ανάπτυξη δικτύου'!AH23)/'Παραδοχές διείσδυσης - κάλυψης'!M91,0)</f>
        <v>0.38690476190476192</v>
      </c>
      <c r="V70" s="191"/>
      <c r="W70" s="236">
        <f>IFERROR(('Ανάπτυξη δικτύου'!AK47+'Ανάπτυξη δικτύου'!AK23)/'Παραδοχές διείσδυσης - κάλυψης'!N91,0)</f>
        <v>0.41666666666666669</v>
      </c>
      <c r="X70" s="191"/>
      <c r="Y70" s="237"/>
    </row>
    <row r="71" spans="2:33" ht="16.5" customHeight="1" outlineLevel="1" x14ac:dyDescent="0.25">
      <c r="B71" s="52" t="s">
        <v>304</v>
      </c>
      <c r="C71" s="138" t="s">
        <v>55</v>
      </c>
      <c r="D71" s="235">
        <f>IFERROR(('Ανάπτυξη δικτύου'!E59+'Ανάπτυξη δικτύου'!E35)/'Παραδοχές διείσδυσης - κάλυψης'!D92,0)</f>
        <v>0</v>
      </c>
      <c r="E71" s="236">
        <f>IFERROR(('Ανάπτυξη δικτύου'!G59+'Ανάπτυξη δικτύου'!G35)/'Παραδοχές διείσδυσης - κάλυψης'!E92,0)</f>
        <v>0</v>
      </c>
      <c r="F71" s="191">
        <f t="shared" si="84"/>
        <v>0</v>
      </c>
      <c r="G71" s="236">
        <f>IFERROR(('Ανάπτυξη δικτύου'!J59+'Ανάπτυξη δικτύου'!J35)/'Παραδοχές διείσδυσης - κάλυψης'!F92,0)</f>
        <v>0</v>
      </c>
      <c r="H71" s="191">
        <f t="shared" si="85"/>
        <v>0</v>
      </c>
      <c r="I71" s="236">
        <f>IFERROR(('Ανάπτυξη δικτύου'!M59+'Ανάπτυξη δικτύου'!M35)/'Παραδοχές διείσδυσης - κάλυψης'!G92,0)</f>
        <v>0</v>
      </c>
      <c r="J71" s="191">
        <f t="shared" si="86"/>
        <v>0</v>
      </c>
      <c r="K71" s="236">
        <f>IFERROR(('Ανάπτυξη δικτύου'!S59+'Ανάπτυξη δικτύου'!S35)/'Παραδοχές διείσδυσης - κάλυψης'!I92,0)</f>
        <v>0</v>
      </c>
      <c r="L71" s="191">
        <f t="shared" si="87"/>
        <v>0</v>
      </c>
      <c r="M71" s="237">
        <f t="shared" si="88"/>
        <v>0</v>
      </c>
      <c r="N71" s="55"/>
      <c r="O71" s="236">
        <f>IFERROR(('Ανάπτυξη δικτύου'!Y48+'Ανάπτυξη δικτύου'!Y24)/'Παραδοχές διείσδυσης - κάλυψης'!J92,0)</f>
        <v>0.35714285714285715</v>
      </c>
      <c r="P71" s="191"/>
      <c r="Q71" s="236">
        <f>IFERROR(('Ανάπτυξη δικτύου'!AB48+'Ανάπτυξη δικτύου'!AB24)/'Παραδοχές διείσδυσης - κάλυψης'!K92,0)</f>
        <v>0.35714285714285715</v>
      </c>
      <c r="R71" s="191"/>
      <c r="S71" s="236">
        <f>IFERROR(('Ανάπτυξη δικτύου'!AE48+'Ανάπτυξη δικτύου'!AE24)/'Παραδοχές διείσδυσης - κάλυψης'!L92,0)</f>
        <v>0.44642857142857145</v>
      </c>
      <c r="T71" s="191"/>
      <c r="U71" s="236">
        <f>IFERROR(('Ανάπτυξη δικτύου'!AH48+'Ανάπτυξη δικτύου'!AH24)/'Παραδοχές διείσδυσης - κάλυψης'!M92,0)</f>
        <v>0.5357142857142857</v>
      </c>
      <c r="V71" s="191"/>
      <c r="W71" s="236">
        <f>IFERROR(('Ανάπτυξη δικτύου'!AK48+'Ανάπτυξη δικτύου'!AK24)/'Παραδοχές διείσδυσης - κάλυψης'!N92,0)</f>
        <v>0.625</v>
      </c>
      <c r="X71" s="191"/>
      <c r="Y71" s="237"/>
    </row>
    <row r="72" spans="2:33" ht="16.5" customHeight="1" outlineLevel="1" x14ac:dyDescent="0.25">
      <c r="B72" s="52" t="s">
        <v>305</v>
      </c>
      <c r="C72" s="138" t="s">
        <v>55</v>
      </c>
      <c r="D72" s="235">
        <f>IFERROR(('Ανάπτυξη δικτύου'!E60+'Ανάπτυξη δικτύου'!E36)/'Παραδοχές διείσδυσης - κάλυψης'!D93,0)</f>
        <v>0</v>
      </c>
      <c r="E72" s="236">
        <f>IFERROR(('Ανάπτυξη δικτύου'!G60+'Ανάπτυξη δικτύου'!G36)/'Παραδοχές διείσδυσης - κάλυψης'!E93,0)</f>
        <v>0</v>
      </c>
      <c r="F72" s="191">
        <f t="shared" si="84"/>
        <v>0</v>
      </c>
      <c r="G72" s="236">
        <f>IFERROR(('Ανάπτυξη δικτύου'!J60+'Ανάπτυξη δικτύου'!J36)/'Παραδοχές διείσδυσης - κάλυψης'!F93,0)</f>
        <v>0</v>
      </c>
      <c r="H72" s="191">
        <f t="shared" si="85"/>
        <v>0</v>
      </c>
      <c r="I72" s="236">
        <f>IFERROR(('Ανάπτυξη δικτύου'!M60+'Ανάπτυξη δικτύου'!M36)/'Παραδοχές διείσδυσης - κάλυψης'!G93,0)</f>
        <v>0</v>
      </c>
      <c r="J72" s="191">
        <f t="shared" si="86"/>
        <v>0</v>
      </c>
      <c r="K72" s="236">
        <f>IFERROR(('Ανάπτυξη δικτύου'!S60+'Ανάπτυξη δικτύου'!S36)/'Παραδοχές διείσδυσης - κάλυψης'!I93,0)</f>
        <v>0</v>
      </c>
      <c r="L72" s="191">
        <f t="shared" si="87"/>
        <v>0</v>
      </c>
      <c r="M72" s="237">
        <f t="shared" si="88"/>
        <v>0</v>
      </c>
      <c r="N72" s="55"/>
      <c r="O72" s="236">
        <f>IFERROR(('Ανάπτυξη δικτύου'!Y49+'Ανάπτυξη δικτύου'!Y25)/'Παραδοχές διείσδυσης - κάλυψης'!J93,0)</f>
        <v>0.41666666666666669</v>
      </c>
      <c r="P72" s="191"/>
      <c r="Q72" s="236">
        <f>IFERROR(('Ανάπτυξη δικτύου'!AB49+'Ανάπτυξη δικτύου'!AB25)/'Παραδοχές διείσδυσης - κάλυψης'!K93,0)</f>
        <v>0.35714285714285715</v>
      </c>
      <c r="R72" s="191"/>
      <c r="S72" s="236">
        <f>IFERROR(('Ανάπτυξη δικτύου'!AE49+'Ανάπτυξη δικτύου'!AE25)/'Παραδοχές διείσδυσης - κάλυψης'!L93,0)</f>
        <v>0.41666666666666669</v>
      </c>
      <c r="T72" s="191"/>
      <c r="U72" s="236">
        <f>IFERROR(('Ανάπτυξη δικτύου'!AH49+'Ανάπτυξη δικτύου'!AH25)/'Παραδοχές διείσδυσης - κάλυψης'!M93,0)</f>
        <v>0.47619047619047616</v>
      </c>
      <c r="V72" s="191"/>
      <c r="W72" s="236">
        <f>IFERROR(('Ανάπτυξη δικτύου'!AK49+'Ανάπτυξη δικτύου'!AK25)/'Παραδοχές διείσδυσης - κάλυψης'!N93,0)</f>
        <v>0.50595238095238093</v>
      </c>
      <c r="X72" s="191"/>
      <c r="Y72" s="237"/>
    </row>
    <row r="73" spans="2:33" ht="16.5" customHeight="1" outlineLevel="1" x14ac:dyDescent="0.25">
      <c r="B73" s="52" t="s">
        <v>306</v>
      </c>
      <c r="C73" s="138" t="s">
        <v>55</v>
      </c>
      <c r="D73" s="235">
        <f>IFERROR(('Ανάπτυξη δικτύου'!E61+'Ανάπτυξη δικτύου'!E37)/'Παραδοχές διείσδυσης - κάλυψης'!D94,0)</f>
        <v>0</v>
      </c>
      <c r="E73" s="236">
        <f>IFERROR(('Ανάπτυξη δικτύου'!G61+'Ανάπτυξη δικτύου'!G37)/'Παραδοχές διείσδυσης - κάλυψης'!E94,0)</f>
        <v>0</v>
      </c>
      <c r="F73" s="191">
        <f t="shared" si="84"/>
        <v>0</v>
      </c>
      <c r="G73" s="236">
        <f>IFERROR(('Ανάπτυξη δικτύου'!J61+'Ανάπτυξη δικτύου'!J37)/'Παραδοχές διείσδυσης - κάλυψης'!F94,0)</f>
        <v>0</v>
      </c>
      <c r="H73" s="191">
        <f t="shared" si="85"/>
        <v>0</v>
      </c>
      <c r="I73" s="236">
        <f>IFERROR(('Ανάπτυξη δικτύου'!M61+'Ανάπτυξη δικτύου'!M37)/'Παραδοχές διείσδυσης - κάλυψης'!G94,0)</f>
        <v>0</v>
      </c>
      <c r="J73" s="191">
        <f t="shared" si="86"/>
        <v>0</v>
      </c>
      <c r="K73" s="236">
        <f>IFERROR(('Ανάπτυξη δικτύου'!S61+'Ανάπτυξη δικτύου'!S37)/'Παραδοχές διείσδυσης - κάλυψης'!I94,0)</f>
        <v>0</v>
      </c>
      <c r="L73" s="191">
        <f t="shared" si="87"/>
        <v>0</v>
      </c>
      <c r="M73" s="237">
        <f t="shared" si="88"/>
        <v>0</v>
      </c>
      <c r="N73" s="55"/>
      <c r="O73" s="236">
        <f>IFERROR(('Ανάπτυξη δικτύου'!Y50+'Ανάπτυξη δικτύου'!Y26)/'Παραδοχές διείσδυσης - κάλυψης'!J94,0)</f>
        <v>0.14285714285714285</v>
      </c>
      <c r="P73" s="191"/>
      <c r="Q73" s="236">
        <f>IFERROR(('Ανάπτυξη δικτύου'!AB50+'Ανάπτυξη δικτύου'!AB26)/'Παραδοχές διείσδυσης - κάλυψης'!K94,0)</f>
        <v>0.13392857142857142</v>
      </c>
      <c r="R73" s="191"/>
      <c r="S73" s="236">
        <f>IFERROR(('Ανάπτυξη δικτύου'!AE50+'Ανάπτυξη δικτύου'!AE26)/'Παραδοχές διείσδυσης - κάλυψης'!L94,0)</f>
        <v>0.17857142857142858</v>
      </c>
      <c r="T73" s="191"/>
      <c r="U73" s="236">
        <f>IFERROR(('Ανάπτυξη δικτύου'!AH50+'Ανάπτυξη δικτύου'!AH26)/'Παραδοχές διείσδυσης - κάλυψης'!M94,0)</f>
        <v>0.21205357142857142</v>
      </c>
      <c r="V73" s="191"/>
      <c r="W73" s="236">
        <f>IFERROR(('Ανάπτυξη δικτύου'!AK50+'Ανάπτυξη δικτύου'!AK26)/'Παραδοχές διείσδυσης - κάλυψης'!N94,0)</f>
        <v>0.234375</v>
      </c>
      <c r="X73" s="191"/>
      <c r="Y73" s="237"/>
    </row>
    <row r="74" spans="2:33" ht="16.5" customHeight="1" outlineLevel="1" x14ac:dyDescent="0.25">
      <c r="B74" s="52" t="s">
        <v>308</v>
      </c>
      <c r="C74" s="138" t="s">
        <v>55</v>
      </c>
      <c r="D74" s="235">
        <f>IFERROR(('Ανάπτυξη δικτύου'!E62+'Ανάπτυξη δικτύου'!E38)/'Παραδοχές διείσδυσης - κάλυψης'!D95,0)</f>
        <v>0</v>
      </c>
      <c r="E74" s="236">
        <f>IFERROR(('Ανάπτυξη δικτύου'!G62+'Ανάπτυξη δικτύου'!G38)/'Παραδοχές διείσδυσης - κάλυψης'!E95,0)</f>
        <v>0</v>
      </c>
      <c r="F74" s="191">
        <f t="shared" si="84"/>
        <v>0</v>
      </c>
      <c r="G74" s="236">
        <f>IFERROR(('Ανάπτυξη δικτύου'!J62+'Ανάπτυξη δικτύου'!J38)/'Παραδοχές διείσδυσης - κάλυψης'!F95,0)</f>
        <v>0</v>
      </c>
      <c r="H74" s="191">
        <f t="shared" si="85"/>
        <v>0</v>
      </c>
      <c r="I74" s="236">
        <f>IFERROR(('Ανάπτυξη δικτύου'!M62+'Ανάπτυξη δικτύου'!M38)/'Παραδοχές διείσδυσης - κάλυψης'!G95,0)</f>
        <v>0</v>
      </c>
      <c r="J74" s="191">
        <f t="shared" si="86"/>
        <v>0</v>
      </c>
      <c r="K74" s="236">
        <f>IFERROR(('Ανάπτυξη δικτύου'!S62+'Ανάπτυξη δικτύου'!S38)/'Παραδοχές διείσδυσης - κάλυψης'!I95,0)</f>
        <v>0</v>
      </c>
      <c r="L74" s="191">
        <f t="shared" si="87"/>
        <v>0</v>
      </c>
      <c r="M74" s="237">
        <f t="shared" si="88"/>
        <v>0</v>
      </c>
      <c r="N74" s="55"/>
      <c r="O74" s="236">
        <f>IFERROR(('Ανάπτυξη δικτύου'!Y51+'Ανάπτυξη δικτύου'!Y27)/'Παραδοχές διείσδυσης - κάλυψης'!J95,0)</f>
        <v>0.14285714285714285</v>
      </c>
      <c r="P74" s="191"/>
      <c r="Q74" s="236">
        <f>IFERROR(('Ανάπτυξη δικτύου'!AB51+'Ανάπτυξη δικτύου'!AB27)/'Παραδοχές διείσδυσης - κάλυψης'!K95,0)</f>
        <v>0.13392857142857142</v>
      </c>
      <c r="R74" s="191"/>
      <c r="S74" s="236">
        <f>IFERROR(('Ανάπτυξη δικτύου'!AE51+'Ανάπτυξη δικτύου'!AE27)/'Παραδοχές διείσδυσης - κάλυψης'!L95,0)</f>
        <v>0.18973214285714285</v>
      </c>
      <c r="T74" s="191"/>
      <c r="U74" s="236">
        <f>IFERROR(('Ανάπτυξη δικτύου'!AH51+'Ανάπτυξη δικτύου'!AH27)/'Παραδοχές διείσδυσης - κάλυψης'!M95,0)</f>
        <v>0.234375</v>
      </c>
      <c r="V74" s="191"/>
      <c r="W74" s="236">
        <f>IFERROR(('Ανάπτυξη δικτύου'!AK51+'Ανάπτυξη δικτύου'!AK27)/'Παραδοχές διείσδυσης - κάλυψης'!N95,0)</f>
        <v>0.25669642857142855</v>
      </c>
      <c r="X74" s="191"/>
      <c r="Y74" s="237"/>
    </row>
    <row r="75" spans="2:33" ht="16.5" customHeight="1" outlineLevel="1" x14ac:dyDescent="0.25">
      <c r="B75" s="52"/>
      <c r="C75" s="138"/>
      <c r="D75" s="235">
        <f>IFERROR(('Ανάπτυξη δικτύου'!E63+'Ανάπτυξη δικτύου'!E39)/'Παραδοχές διείσδυσης - κάλυψης'!D96,0)</f>
        <v>0</v>
      </c>
      <c r="E75" s="236">
        <f>IFERROR(('Ανάπτυξη δικτύου'!G63+'Ανάπτυξη δικτύου'!G39)/'Παραδοχές διείσδυσης - κάλυψης'!E96,0)</f>
        <v>0</v>
      </c>
      <c r="F75" s="191">
        <f t="shared" si="84"/>
        <v>0</v>
      </c>
      <c r="G75" s="236">
        <f>IFERROR(('Ανάπτυξη δικτύου'!J63+'Ανάπτυξη δικτύου'!J39)/'Παραδοχές διείσδυσης - κάλυψης'!F96,0)</f>
        <v>0</v>
      </c>
      <c r="H75" s="191">
        <f t="shared" si="85"/>
        <v>0</v>
      </c>
      <c r="I75" s="236">
        <f>IFERROR(('Ανάπτυξη δικτύου'!M63+'Ανάπτυξη δικτύου'!M39)/'Παραδοχές διείσδυσης - κάλυψης'!G96,0)</f>
        <v>0</v>
      </c>
      <c r="J75" s="191">
        <f t="shared" si="86"/>
        <v>0</v>
      </c>
      <c r="K75" s="236">
        <f>IFERROR(('Ανάπτυξη δικτύου'!S63+'Ανάπτυξη δικτύου'!S39)/'Παραδοχές διείσδυσης - κάλυψης'!I96,0)</f>
        <v>0</v>
      </c>
      <c r="L75" s="191">
        <f t="shared" si="87"/>
        <v>0</v>
      </c>
      <c r="M75" s="237">
        <f t="shared" si="88"/>
        <v>0</v>
      </c>
      <c r="N75" s="55"/>
      <c r="O75" s="236">
        <f>IFERROR(('Ανάπτυξη δικτύου'!Y52+'Ανάπτυξη δικτύου'!Y28)/'Παραδοχές διείσδυσης - κάλυψης'!J96,0)</f>
        <v>0</v>
      </c>
      <c r="P75" s="191"/>
      <c r="Q75" s="236">
        <f>IFERROR(('Ανάπτυξη δικτύου'!AB52+'Ανάπτυξη δικτύου'!AB28)/'Παραδοχές διείσδυσης - κάλυψης'!K96,0)</f>
        <v>0</v>
      </c>
      <c r="R75" s="191"/>
      <c r="S75" s="236">
        <f>IFERROR(('Ανάπτυξη δικτύου'!AE52+'Ανάπτυξη δικτύου'!AE28)/'Παραδοχές διείσδυσης - κάλυψης'!L96,0)</f>
        <v>0</v>
      </c>
      <c r="T75" s="191"/>
      <c r="U75" s="236">
        <f>IFERROR(('Ανάπτυξη δικτύου'!AH52+'Ανάπτυξη δικτύου'!AH28)/'Παραδοχές διείσδυσης - κάλυψης'!M96,0)</f>
        <v>0</v>
      </c>
      <c r="V75" s="191"/>
      <c r="W75" s="236">
        <f>IFERROR(('Ανάπτυξη δικτύου'!AK52+'Ανάπτυξη δικτύου'!AK28)/'Παραδοχές διείσδυσης - κάλυψης'!N96,0)</f>
        <v>0</v>
      </c>
      <c r="X75" s="191"/>
      <c r="Y75" s="237"/>
    </row>
    <row r="76" spans="2:33" ht="15" customHeight="1" outlineLevel="1" x14ac:dyDescent="0.25">
      <c r="B76" s="437" t="s">
        <v>90</v>
      </c>
      <c r="C76" s="438"/>
      <c r="D76" s="438"/>
      <c r="E76" s="438"/>
      <c r="F76" s="438"/>
      <c r="G76" s="438"/>
      <c r="H76" s="438"/>
      <c r="I76" s="438"/>
      <c r="J76" s="438"/>
      <c r="K76" s="438"/>
      <c r="L76" s="438"/>
      <c r="M76" s="438"/>
      <c r="N76" s="438"/>
      <c r="O76" s="438"/>
      <c r="P76" s="438"/>
      <c r="Q76" s="438"/>
      <c r="R76" s="438"/>
      <c r="S76" s="438"/>
      <c r="T76" s="438"/>
      <c r="U76" s="438"/>
      <c r="V76" s="438"/>
      <c r="W76" s="438"/>
      <c r="X76" s="438"/>
      <c r="Y76" s="439"/>
    </row>
    <row r="77" spans="2:33" ht="15" customHeight="1" outlineLevel="1" x14ac:dyDescent="0.25">
      <c r="B77" s="52" t="s">
        <v>82</v>
      </c>
      <c r="C77" s="49" t="s">
        <v>55</v>
      </c>
      <c r="D77" s="235">
        <f>IFERROR(('Ανάπτυξη δικτύου'!E54+'Ανάπτυξη δικτύου'!E30)/'Παραδοχές διείσδυσης - κάλυψης'!D98,0)</f>
        <v>0</v>
      </c>
      <c r="E77" s="236">
        <f>IFERROR(('Ανάπτυξη δικτύου'!G54+'Ανάπτυξη δικτύου'!G30)/'Παραδοχές διείσδυσης - κάλυψης'!E98,0)</f>
        <v>0</v>
      </c>
      <c r="F77" s="191">
        <f t="shared" si="63"/>
        <v>0</v>
      </c>
      <c r="G77" s="236">
        <f>IFERROR(('Ανάπτυξη δικτύου'!J54+'Ανάπτυξη δικτύου'!J30)/'Παραδοχές διείσδυσης - κάλυψης'!F98,0)</f>
        <v>0</v>
      </c>
      <c r="H77" s="191">
        <f t="shared" si="64"/>
        <v>0</v>
      </c>
      <c r="I77" s="236">
        <f>IFERROR(('Ανάπτυξη δικτύου'!M54+'Ανάπτυξη δικτύου'!M30)/'Παραδοχές διείσδυσης - κάλυψης'!G98,0)</f>
        <v>0</v>
      </c>
      <c r="J77" s="191">
        <f t="shared" si="65"/>
        <v>0</v>
      </c>
      <c r="K77" s="236">
        <f>IFERROR(('Ανάπτυξη δικτύου'!S54+'Ανάπτυξη δικτύου'!S30)/'Παραδοχές διείσδυσης - κάλυψης'!I98,0)</f>
        <v>0</v>
      </c>
      <c r="L77" s="191">
        <f t="shared" si="66"/>
        <v>0</v>
      </c>
      <c r="M77" s="237">
        <f>IFERROR((K77/D77)^(1/4)-1,0)</f>
        <v>0</v>
      </c>
      <c r="O77" s="236">
        <f>IFERROR(('Ανάπτυξη δικτύου'!Y54+'Ανάπτυξη δικτύου'!Y30)/'Παραδοχές διείσδυσης - κάλυψης'!J98,0)</f>
        <v>0.65998413692521984</v>
      </c>
      <c r="P77" s="191">
        <f t="shared" si="67"/>
        <v>0</v>
      </c>
      <c r="Q77" s="236">
        <f>IFERROR(('Ανάπτυξη δικτύου'!AB54+'Ανάπτυξη δικτύου'!AB30)/'Παραδοχές διείσδυσης - κάλυψης'!K98,0)</f>
        <v>0.44379646893964791</v>
      </c>
      <c r="R77" s="191">
        <f t="shared" si="68"/>
        <v>-0.32756494571636541</v>
      </c>
      <c r="S77" s="236">
        <f>IFERROR(('Ανάπτυξη δικτύου'!AE54+'Ανάπτυξη δικτύου'!AE30)/'Παραδοχές διείσδυσης - κάλυψης'!L98,0)</f>
        <v>0.47272783863233409</v>
      </c>
      <c r="T77" s="191">
        <f t="shared" si="69"/>
        <v>6.5190626148538738E-2</v>
      </c>
      <c r="U77" s="236">
        <f>IFERROR(('Ανάπτυξη δικτύου'!AH54+'Ανάπτυξη δικτύου'!AH30)/'Παραδοχές διείσδυσης - κάλυψης'!M98,0)</f>
        <v>0.49667842048911803</v>
      </c>
      <c r="V77" s="191">
        <f t="shared" si="70"/>
        <v>5.066463173837242E-2</v>
      </c>
      <c r="W77" s="236">
        <f>IFERROR(('Ανάπτυξη δικτύου'!AK54+'Ανάπτυξη δικτύου'!AK30)/'Παραδοχές διείσδυσης - κάλυψης'!N98,0)</f>
        <v>0.51787530004484084</v>
      </c>
      <c r="X77" s="191">
        <f t="shared" si="71"/>
        <v>4.2677271009375808E-2</v>
      </c>
      <c r="Y77" s="237">
        <f t="shared" si="72"/>
        <v>-5.8819490045389777E-2</v>
      </c>
    </row>
    <row r="78" spans="2:33" ht="15" customHeight="1" x14ac:dyDescent="0.25"/>
    <row r="79" spans="2:33" ht="15.75" x14ac:dyDescent="0.25">
      <c r="B79" s="352" t="s">
        <v>34</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row>
    <row r="80" spans="2:33" ht="5.45" customHeight="1" outlineLevel="1" x14ac:dyDescent="0.2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row>
    <row r="81" spans="2:25" ht="14.25" customHeight="1" outlineLevel="1" x14ac:dyDescent="0.25">
      <c r="B81" s="382"/>
      <c r="C81" s="412" t="s">
        <v>20</v>
      </c>
      <c r="D81" s="372" t="s">
        <v>262</v>
      </c>
      <c r="E81" s="373"/>
      <c r="F81" s="373"/>
      <c r="G81" s="373"/>
      <c r="H81" s="373"/>
      <c r="I81" s="373"/>
      <c r="J81" s="374"/>
      <c r="K81" s="373" t="s">
        <v>260</v>
      </c>
      <c r="L81" s="374"/>
      <c r="M81" s="434" t="str">
        <f>"Ετήσιος ρυθμός ανάπτυξης (CAGR) "&amp;($C$3-5)&amp;" - "&amp;(($C$3-1))</f>
        <v>Ετήσιος ρυθμός ανάπτυξης (CAGR) 2018 - 2022</v>
      </c>
      <c r="N81" s="115"/>
      <c r="O81" s="440" t="s">
        <v>261</v>
      </c>
      <c r="P81" s="441"/>
      <c r="Q81" s="441"/>
      <c r="R81" s="441"/>
      <c r="S81" s="441"/>
      <c r="T81" s="441"/>
      <c r="U81" s="441"/>
      <c r="V81" s="441"/>
      <c r="W81" s="441"/>
      <c r="X81" s="442"/>
      <c r="Y81" s="434" t="str">
        <f>"Ετήσιος ρυθμός ανάπτυξης (CAGR) "&amp;$C$3&amp;" - "&amp;$E$3</f>
        <v>Ετήσιος ρυθμός ανάπτυξης (CAGR) 2023 - 2027</v>
      </c>
    </row>
    <row r="82" spans="2:25" ht="15.75" customHeight="1" outlineLevel="1" x14ac:dyDescent="0.25">
      <c r="B82" s="383"/>
      <c r="C82" s="413"/>
      <c r="D82" s="69">
        <f>$C$3-5</f>
        <v>2018</v>
      </c>
      <c r="E82" s="372">
        <f>$C$3-4</f>
        <v>2019</v>
      </c>
      <c r="F82" s="374"/>
      <c r="G82" s="372">
        <f>$C$3-3</f>
        <v>2020</v>
      </c>
      <c r="H82" s="374"/>
      <c r="I82" s="372">
        <f>$C$3+-2</f>
        <v>2021</v>
      </c>
      <c r="J82" s="374"/>
      <c r="K82" s="372">
        <f>$C$3-1</f>
        <v>2022</v>
      </c>
      <c r="L82" s="374"/>
      <c r="M82" s="435"/>
      <c r="N82" s="115"/>
      <c r="O82" s="372">
        <f>$C$3</f>
        <v>2023</v>
      </c>
      <c r="P82" s="374"/>
      <c r="Q82" s="372">
        <f>$C$3+1</f>
        <v>2024</v>
      </c>
      <c r="R82" s="374"/>
      <c r="S82" s="372">
        <f>$C$3+2</f>
        <v>2025</v>
      </c>
      <c r="T82" s="374"/>
      <c r="U82" s="372">
        <f>$C$3+3</f>
        <v>2026</v>
      </c>
      <c r="V82" s="374"/>
      <c r="W82" s="372">
        <f>$C$3+4</f>
        <v>2027</v>
      </c>
      <c r="X82" s="374"/>
      <c r="Y82" s="435"/>
    </row>
    <row r="83" spans="2:25" ht="15" customHeight="1" outlineLevel="1" x14ac:dyDescent="0.25">
      <c r="B83" s="384"/>
      <c r="C83" s="414"/>
      <c r="D83" s="69" t="s">
        <v>93</v>
      </c>
      <c r="E83" s="69" t="s">
        <v>93</v>
      </c>
      <c r="F83" s="68" t="s">
        <v>81</v>
      </c>
      <c r="G83" s="69" t="s">
        <v>93</v>
      </c>
      <c r="H83" s="68" t="s">
        <v>81</v>
      </c>
      <c r="I83" s="69" t="s">
        <v>93</v>
      </c>
      <c r="J83" s="68" t="s">
        <v>81</v>
      </c>
      <c r="K83" s="69" t="s">
        <v>93</v>
      </c>
      <c r="L83" s="68" t="s">
        <v>81</v>
      </c>
      <c r="M83" s="436"/>
      <c r="O83" s="69" t="s">
        <v>93</v>
      </c>
      <c r="P83" s="68" t="s">
        <v>81</v>
      </c>
      <c r="Q83" s="69" t="s">
        <v>93</v>
      </c>
      <c r="R83" s="68" t="s">
        <v>81</v>
      </c>
      <c r="S83" s="69" t="s">
        <v>93</v>
      </c>
      <c r="T83" s="68" t="s">
        <v>81</v>
      </c>
      <c r="U83" s="69" t="s">
        <v>93</v>
      </c>
      <c r="V83" s="68" t="s">
        <v>81</v>
      </c>
      <c r="W83" s="69" t="s">
        <v>93</v>
      </c>
      <c r="X83" s="68" t="s">
        <v>81</v>
      </c>
      <c r="Y83" s="436"/>
    </row>
    <row r="84" spans="2:25" outlineLevel="1" x14ac:dyDescent="0.25">
      <c r="B84" s="281" t="s">
        <v>283</v>
      </c>
      <c r="C84" s="64" t="s">
        <v>55</v>
      </c>
      <c r="D84" s="235">
        <f>IFERROR('Ενεργές συνδέσεις'!E14/'Παραδοχές διείσδυσης - κάλυψης'!D38,0)</f>
        <v>0</v>
      </c>
      <c r="E84" s="236">
        <f>IFERROR('Ενεργές συνδέσεις'!G14/'Παραδοχές διείσδυσης - κάλυψης'!E38,0)</f>
        <v>0</v>
      </c>
      <c r="F84" s="191">
        <f>IFERROR((E84-D84)/D84,0)</f>
        <v>0</v>
      </c>
      <c r="G84" s="236">
        <f>IFERROR('Ενεργές συνδέσεις'!J14/'Παραδοχές διείσδυσης - κάλυψης'!F38,0)</f>
        <v>0</v>
      </c>
      <c r="H84" s="191">
        <f>IFERROR((G84-E84)/E84,0)</f>
        <v>0</v>
      </c>
      <c r="I84" s="236">
        <f>IFERROR('Ενεργές συνδέσεις'!M14/'Παραδοχές διείσδυσης - κάλυψης'!G38,0)</f>
        <v>0</v>
      </c>
      <c r="J84" s="191">
        <f>IFERROR((I84-G84)/G84,0)</f>
        <v>0</v>
      </c>
      <c r="K84" s="236">
        <f>IFERROR('Ενεργές συνδέσεις'!S14/'Παραδοχές διείσδυσης - κάλυψης'!I38,0)</f>
        <v>0</v>
      </c>
      <c r="L84" s="191">
        <f>IFERROR((K84-I84)/I84,0)</f>
        <v>0</v>
      </c>
      <c r="M84" s="237">
        <f t="shared" ref="M84:M87" si="95">IFERROR((K84/D84)^(1/4)-1,0)</f>
        <v>0</v>
      </c>
      <c r="O84" s="236">
        <f>IFERROR('Ενεργές συνδέσεις'!AB14/'Παραδοχές διείσδυσης - κάλυψης'!J38,0)</f>
        <v>3.466463976414225E-3</v>
      </c>
      <c r="P84" s="191">
        <f>IFERROR((O84-K84)/K84,0)</f>
        <v>0</v>
      </c>
      <c r="Q84" s="236">
        <f>IFERROR('Ενεργές συνδέσεις'!AF14/'Παραδοχές διείσδυσης - κάλυψης'!K38,0)</f>
        <v>0.22802653399668324</v>
      </c>
      <c r="R84" s="191">
        <f>IFERROR((Q84-O84)/O84,0)</f>
        <v>64.78073089700996</v>
      </c>
      <c r="S84" s="236">
        <f>IFERROR('Ενεργές συνδέσεις'!AK14/'Παραδοχές διείσδυσης - κάλυψης'!L38,0)</f>
        <v>0.26725874758439205</v>
      </c>
      <c r="T84" s="191">
        <f>IFERROR((S84-Q84)/Q84,0)</f>
        <v>0.17205108940646122</v>
      </c>
      <c r="U84" s="236">
        <f>IFERROR('Ενεργές συνδέσεις'!AP14/'Παραδοχές διείσδυσης - κάλυψης'!M38,0)</f>
        <v>0.25853701689399228</v>
      </c>
      <c r="V84" s="191">
        <f>IFERROR((U84-S84)/S84,0)</f>
        <v>-3.2634032634032764E-2</v>
      </c>
      <c r="W84" s="236">
        <f>IFERROR('Ενεργές συνδέσεις'!AU14/'Παραδοχές διείσδυσης - κάλυψης'!N38,0)</f>
        <v>0.24258493370484122</v>
      </c>
      <c r="X84" s="191">
        <f>IFERROR((W84-U84)/U84,0)</f>
        <v>-6.1701350857977455E-2</v>
      </c>
      <c r="Y84" s="237">
        <f>IFERROR((W84/O84)^(1/4)-1,0)</f>
        <v>1.8923062981968064</v>
      </c>
    </row>
    <row r="85" spans="2:25" outlineLevel="1" x14ac:dyDescent="0.25">
      <c r="B85" s="52" t="s">
        <v>284</v>
      </c>
      <c r="C85" s="64" t="s">
        <v>55</v>
      </c>
      <c r="D85" s="235">
        <f>IFERROR('Ενεργές συνδέσεις'!E17/'Παραδοχές διείσδυσης - κάλυψης'!D39,0)</f>
        <v>0</v>
      </c>
      <c r="E85" s="236">
        <f>IFERROR('Ενεργές συνδέσεις'!G17/'Παραδοχές διείσδυσης - κάλυψης'!E39,0)</f>
        <v>0</v>
      </c>
      <c r="F85" s="191">
        <f t="shared" ref="F85:F100" si="96">IFERROR((E85-D85)/D85,0)</f>
        <v>0</v>
      </c>
      <c r="G85" s="236">
        <f>IFERROR('Ενεργές συνδέσεις'!J17/'Παραδοχές διείσδυσης - κάλυψης'!F39,0)</f>
        <v>0</v>
      </c>
      <c r="H85" s="191">
        <f t="shared" ref="H85:H100" si="97">IFERROR((G85-E85)/E85,0)</f>
        <v>0</v>
      </c>
      <c r="I85" s="236">
        <f>IFERROR('Ενεργές συνδέσεις'!M17/'Παραδοχές διείσδυσης - κάλυψης'!G39,0)</f>
        <v>0</v>
      </c>
      <c r="J85" s="191">
        <f t="shared" ref="J85:J100" si="98">IFERROR((I85-G85)/G85,0)</f>
        <v>0</v>
      </c>
      <c r="K85" s="236">
        <f>IFERROR('Ενεργές συνδέσεις'!S17/'Παραδοχές διείσδυσης - κάλυψης'!I39,0)</f>
        <v>0</v>
      </c>
      <c r="L85" s="191">
        <f t="shared" ref="L85:L100" si="99">IFERROR((K85-I85)/I85,0)</f>
        <v>0</v>
      </c>
      <c r="M85" s="237">
        <f t="shared" si="95"/>
        <v>0</v>
      </c>
      <c r="N85" s="55"/>
      <c r="O85" s="236">
        <f>IFERROR('Ενεργές συνδέσεις'!AA15/'Παραδοχές διείσδυσης - κάλυψης'!J39,0)</f>
        <v>0.15803303303303304</v>
      </c>
      <c r="P85" s="191">
        <f t="shared" ref="P85:P100" si="100">IFERROR((O85-K85)/K85,0)</f>
        <v>0</v>
      </c>
      <c r="Q85" s="236">
        <f>IFERROR('Ενεργές συνδέσεις'!AF15/'Παραδοχές διείσδυσης - κάλυψης'!K39,0)</f>
        <v>0.33135408135408134</v>
      </c>
      <c r="R85" s="191">
        <f t="shared" ref="R85:R100" si="101">IFERROR((Q85-O85)/O85,0)</f>
        <v>1.096739365147916</v>
      </c>
      <c r="S85" s="236">
        <f>IFERROR('Ενεργές συνδέσεις'!AK15/'Παραδοχές διείσδυσης - κάλυψης'!L39,0)</f>
        <v>0.46316978135159947</v>
      </c>
      <c r="T85" s="191">
        <f t="shared" ref="T85:T100" si="102">IFERROR((S85-Q85)/Q85,0)</f>
        <v>0.39780919389570252</v>
      </c>
      <c r="U85" s="236">
        <f>IFERROR('Ενεργές συνδέσεις'!AP15/'Παραδοχές διείσδυσης - κάλυψης'!M39,0)</f>
        <v>0.45941884784859977</v>
      </c>
      <c r="V85" s="191">
        <f t="shared" ref="V85:V100" si="103">IFERROR((U85-S85)/S85,0)</f>
        <v>-8.0983985873472105E-3</v>
      </c>
      <c r="W85" s="236">
        <f>IFERROR('Ενεργές συνδέσεις'!AU15/'Παραδοχές διείσδυσης - κάλυψης'!N39,0)</f>
        <v>0.42483231814561628</v>
      </c>
      <c r="X85" s="191">
        <f t="shared" ref="X85:X100" si="104">IFERROR((W85-U85)/U85,0)</f>
        <v>-7.5283218929627763E-2</v>
      </c>
      <c r="Y85" s="237">
        <f t="shared" ref="Y85:Y100" si="105">IFERROR((W85/O85)^(1/4)-1,0)</f>
        <v>0.28046413302414108</v>
      </c>
    </row>
    <row r="86" spans="2:25" outlineLevel="1" x14ac:dyDescent="0.25">
      <c r="B86" s="52" t="s">
        <v>285</v>
      </c>
      <c r="C86" s="64" t="s">
        <v>55</v>
      </c>
      <c r="D86" s="235">
        <f>IFERROR('Ενεργές συνδέσεις'!E19/'Παραδοχές διείσδυσης - κάλυψης'!D40,0)</f>
        <v>0</v>
      </c>
      <c r="E86" s="236">
        <f>IFERROR('Ενεργές συνδέσεις'!G19/'Παραδοχές διείσδυσης - κάλυψης'!E40,0)</f>
        <v>0</v>
      </c>
      <c r="F86" s="191">
        <f t="shared" si="96"/>
        <v>0</v>
      </c>
      <c r="G86" s="236">
        <f>IFERROR('Ενεργές συνδέσεις'!J19/'Παραδοχές διείσδυσης - κάλυψης'!F40,0)</f>
        <v>0</v>
      </c>
      <c r="H86" s="191">
        <f t="shared" si="97"/>
        <v>0</v>
      </c>
      <c r="I86" s="236">
        <f>IFERROR('Ενεργές συνδέσεις'!M19/'Παραδοχές διείσδυσης - κάλυψης'!G40,0)</f>
        <v>0</v>
      </c>
      <c r="J86" s="191">
        <f t="shared" si="98"/>
        <v>0</v>
      </c>
      <c r="K86" s="236">
        <f>IFERROR('Ενεργές συνδέσεις'!S19/'Παραδοχές διείσδυσης - κάλυψης'!I40,0)</f>
        <v>0</v>
      </c>
      <c r="L86" s="191">
        <f t="shared" si="99"/>
        <v>0</v>
      </c>
      <c r="M86" s="237">
        <f t="shared" si="95"/>
        <v>0</v>
      </c>
      <c r="O86" s="236">
        <f>IFERROR('Ενεργές συνδέσεις'!AA16/'Παραδοχές διείσδυσης - κάλυψης'!J40,0)</f>
        <v>0.17932489451476794</v>
      </c>
      <c r="P86" s="191">
        <f t="shared" si="100"/>
        <v>0</v>
      </c>
      <c r="Q86" s="236">
        <f>IFERROR('Ενεργές συνδέσεις'!AF16/'Παραδοχές διείσδυσης - κάλυψης'!K40,0)</f>
        <v>0.37838831351489582</v>
      </c>
      <c r="R86" s="191">
        <f t="shared" si="101"/>
        <v>1.1100713012477719</v>
      </c>
      <c r="S86" s="236">
        <f>IFERROR('Ενεργές συνδέσεις'!AK16/'Παραδοχές διείσδυσης - κάλυψης'!L40,0)</f>
        <v>0.50090955585777219</v>
      </c>
      <c r="T86" s="191">
        <f t="shared" si="102"/>
        <v>0.32379763847556864</v>
      </c>
      <c r="U86" s="236">
        <f>IFERROR('Ενεργές συνδέσεις'!AP16/'Παραδοχές διείσδυσης - κάλυψης'!M40,0)</f>
        <v>0.49929148161180792</v>
      </c>
      <c r="V86" s="191">
        <f t="shared" si="103"/>
        <v>-3.230272265805423E-3</v>
      </c>
      <c r="W86" s="236">
        <f>IFERROR('Ενεργές συνδέσεις'!AU16/'Παραδοχές διείσδυσης - κάλυψης'!N40,0)</f>
        <v>0.47461509886259512</v>
      </c>
      <c r="X86" s="191">
        <f t="shared" si="104"/>
        <v>-4.9422799422799563E-2</v>
      </c>
      <c r="Y86" s="237">
        <f t="shared" si="105"/>
        <v>0.27548466513485592</v>
      </c>
    </row>
    <row r="87" spans="2:25" ht="16.5" customHeight="1" outlineLevel="1" x14ac:dyDescent="0.25">
      <c r="B87" s="52" t="s">
        <v>286</v>
      </c>
      <c r="C87" s="138" t="s">
        <v>55</v>
      </c>
      <c r="D87" s="235">
        <f>IFERROR('Ενεργές συνδέσεις'!E20/'Παραδοχές διείσδυσης - κάλυψης'!D41,0)</f>
        <v>0</v>
      </c>
      <c r="E87" s="236">
        <f>IFERROR('Ενεργές συνδέσεις'!G20/'Παραδοχές διείσδυσης - κάλυψης'!E41,0)</f>
        <v>0</v>
      </c>
      <c r="F87" s="191">
        <f t="shared" si="96"/>
        <v>0</v>
      </c>
      <c r="G87" s="236">
        <f>IFERROR('Ενεργές συνδέσεις'!J20/'Παραδοχές διείσδυσης - κάλυψης'!F41,0)</f>
        <v>0</v>
      </c>
      <c r="H87" s="191">
        <f t="shared" si="97"/>
        <v>0</v>
      </c>
      <c r="I87" s="236">
        <f>IFERROR('Ενεργές συνδέσεις'!M20/'Παραδοχές διείσδυσης - κάλυψης'!G41,0)</f>
        <v>0</v>
      </c>
      <c r="J87" s="191">
        <f t="shared" si="98"/>
        <v>0</v>
      </c>
      <c r="K87" s="236">
        <f>IFERROR('Ενεργές συνδέσεις'!S20/'Παραδοχές διείσδυσης - κάλυψης'!I41,0)</f>
        <v>0</v>
      </c>
      <c r="L87" s="191">
        <f t="shared" si="99"/>
        <v>0</v>
      </c>
      <c r="M87" s="237">
        <f t="shared" si="95"/>
        <v>0</v>
      </c>
      <c r="N87" s="55"/>
      <c r="O87" s="236">
        <f>IFERROR('Ενεργές συνδέσεις'!AA17/'Παραδοχές διείσδυσης - κάλυψης'!J41,0)</f>
        <v>0.10365754317367222</v>
      </c>
      <c r="P87" s="191">
        <f t="shared" si="100"/>
        <v>0</v>
      </c>
      <c r="Q87" s="236">
        <f>IFERROR('Ενεργές συνδέσεις'!AF17/'Παραδοχές διείσδυσης - κάλυψης'!K41,0)</f>
        <v>0.50653159157557992</v>
      </c>
      <c r="R87" s="191">
        <f t="shared" si="101"/>
        <v>3.8865868905161638</v>
      </c>
      <c r="S87" s="236">
        <f>IFERROR('Ενεργές συνδέσεις'!AK17/'Παραδοχές διείσδυσης - κάλυψης'!L41,0)</f>
        <v>0.73482088278142665</v>
      </c>
      <c r="T87" s="191">
        <f t="shared" si="102"/>
        <v>0.45069112174375314</v>
      </c>
      <c r="U87" s="236">
        <f>IFERROR('Ενεργές συνδέσεις'!AP17/'Παραδοχές διείσδυσης - κάλυψης'!M41,0)</f>
        <v>0.75660876719988224</v>
      </c>
      <c r="V87" s="191">
        <f t="shared" si="103"/>
        <v>2.9650605921792257E-2</v>
      </c>
      <c r="W87" s="236">
        <f>IFERROR('Ενεργές συνδέσεις'!AU17/'Παραδοχές διείσδυσης - κάλυψης'!N41,0)</f>
        <v>0.72941564026035155</v>
      </c>
      <c r="X87" s="191">
        <f t="shared" si="104"/>
        <v>-3.5940803382663894E-2</v>
      </c>
      <c r="Y87" s="237">
        <f t="shared" si="105"/>
        <v>0.62870916420204526</v>
      </c>
    </row>
    <row r="88" spans="2:25" outlineLevel="1" x14ac:dyDescent="0.25">
      <c r="B88" s="52" t="s">
        <v>287</v>
      </c>
      <c r="C88" s="64" t="s">
        <v>55</v>
      </c>
      <c r="D88" s="235">
        <f>IFERROR('Ενεργές συνδέσεις'!E18/'Παραδοχές διείσδυσης - κάλυψης'!D42,0)</f>
        <v>0</v>
      </c>
      <c r="E88" s="236">
        <f>IFERROR('Ενεργές συνδέσεις'!G18/'Παραδοχές διείσδυσης - κάλυψης'!E42,0)</f>
        <v>0</v>
      </c>
      <c r="F88" s="191">
        <f>IFERROR((E88-D88)/D88,0)</f>
        <v>0</v>
      </c>
      <c r="G88" s="236">
        <f>IFERROR('Ενεργές συνδέσεις'!J18/'Παραδοχές διείσδυσης - κάλυψης'!F42,0)</f>
        <v>0</v>
      </c>
      <c r="H88" s="191">
        <f>IFERROR((G88-E88)/E88,0)</f>
        <v>0</v>
      </c>
      <c r="I88" s="236">
        <f>IFERROR('Ενεργές συνδέσεις'!M18/'Παραδοχές διείσδυσης - κάλυψης'!G42,0)</f>
        <v>0</v>
      </c>
      <c r="J88" s="191">
        <f>IFERROR((I88-G88)/G88,0)</f>
        <v>0</v>
      </c>
      <c r="K88" s="236">
        <f>IFERROR('Ενεργές συνδέσεις'!S18/'Παραδοχές διείσδυσης - κάλυψης'!I42,0)</f>
        <v>0</v>
      </c>
      <c r="L88" s="191">
        <f>IFERROR((K88-I88)/I88,0)</f>
        <v>0</v>
      </c>
      <c r="M88" s="237">
        <f t="shared" ref="M88:M91" si="106">IFERROR((K88/D88)^(1/4)-1,0)</f>
        <v>0</v>
      </c>
      <c r="O88" s="236">
        <f>IFERROR('Ενεργές συνδέσεις'!AA18/'Παραδοχές διείσδυσης - κάλυψης'!J42,0)</f>
        <v>0</v>
      </c>
      <c r="P88" s="191">
        <f>IFERROR((O88-K88)/K88,0)</f>
        <v>0</v>
      </c>
      <c r="Q88" s="236">
        <f>IFERROR('Ενεργές συνδέσεις'!AF18/'Παραδοχές διείσδυσης - κάλυψης'!K42,0)</f>
        <v>0.28447869356960259</v>
      </c>
      <c r="R88" s="191">
        <f>IFERROR((Q88-O88)/O88,0)</f>
        <v>0</v>
      </c>
      <c r="S88" s="236">
        <f>IFERROR('Ενεργές συνδέσεις'!AK18/'Παραδοχές διείσδυσης - κάλυψης'!L42,0)</f>
        <v>0.47817351536359787</v>
      </c>
      <c r="T88" s="191">
        <f>IFERROR((S88-Q88)/Q88,0)</f>
        <v>0.68087637553286395</v>
      </c>
      <c r="U88" s="236">
        <f>IFERROR('Ενεργές συνδέσεις'!AP18/'Παραδοχές διείσδυσης - κάλυψης'!M42,0)</f>
        <v>0.61225080007950006</v>
      </c>
      <c r="V88" s="191">
        <f>IFERROR((U88-S88)/S88,0)</f>
        <v>0.28039462748987948</v>
      </c>
      <c r="W88" s="236">
        <f>IFERROR('Ενεργές συνδέσεις'!AU18/'Παραδοχές διείσδυσης - κάλυψης'!N42,0)</f>
        <v>0.63828567687593674</v>
      </c>
      <c r="X88" s="191">
        <f>IFERROR((W88-U88)/U88,0)</f>
        <v>4.2523222171463197E-2</v>
      </c>
      <c r="Y88" s="237">
        <f>IFERROR((W88/O88)^(1/4)-1,0)</f>
        <v>0</v>
      </c>
    </row>
    <row r="89" spans="2:25" outlineLevel="1" x14ac:dyDescent="0.25">
      <c r="B89" s="52" t="s">
        <v>288</v>
      </c>
      <c r="C89" s="64" t="s">
        <v>55</v>
      </c>
      <c r="D89" s="235">
        <f>IFERROR('Ενεργές συνδέσεις'!E21/'Παραδοχές διείσδυσης - κάλυψης'!D43,0)</f>
        <v>0</v>
      </c>
      <c r="E89" s="236">
        <f>IFERROR('Ενεργές συνδέσεις'!G21/'Παραδοχές διείσδυσης - κάλυψης'!E43,0)</f>
        <v>0</v>
      </c>
      <c r="F89" s="191">
        <f t="shared" ref="F89:F91" si="107">IFERROR((E89-D89)/D89,0)</f>
        <v>0</v>
      </c>
      <c r="G89" s="236">
        <f>IFERROR('Ενεργές συνδέσεις'!J21/'Παραδοχές διείσδυσης - κάλυψης'!F43,0)</f>
        <v>0</v>
      </c>
      <c r="H89" s="191">
        <f t="shared" ref="H89:H91" si="108">IFERROR((G89-E89)/E89,0)</f>
        <v>0</v>
      </c>
      <c r="I89" s="236">
        <f>IFERROR('Ενεργές συνδέσεις'!M21/'Παραδοχές διείσδυσης - κάλυψης'!G43,0)</f>
        <v>0</v>
      </c>
      <c r="J89" s="191">
        <f t="shared" ref="J89:J91" si="109">IFERROR((I89-G89)/G89,0)</f>
        <v>0</v>
      </c>
      <c r="K89" s="236">
        <f>IFERROR('Ενεργές συνδέσεις'!S21/'Παραδοχές διείσδυσης - κάλυψης'!I43,0)</f>
        <v>0</v>
      </c>
      <c r="L89" s="191">
        <f t="shared" ref="L89:L91" si="110">IFERROR((K89-I89)/I89,0)</f>
        <v>0</v>
      </c>
      <c r="M89" s="237">
        <f t="shared" si="106"/>
        <v>0</v>
      </c>
      <c r="N89" s="55"/>
      <c r="O89" s="236">
        <f>IFERROR('Ενεργές συνδέσεις'!AA19/'Παραδοχές διείσδυσης - κάλυψης'!J43,0)</f>
        <v>0.1185515873015873</v>
      </c>
      <c r="P89" s="191">
        <f t="shared" ref="P89:P91" si="111">IFERROR((O89-K89)/K89,0)</f>
        <v>0</v>
      </c>
      <c r="Q89" s="236">
        <f>IFERROR('Ενεργές συνδέσεις'!AF19/'Παραδοχές διείσδυσης - κάλυψης'!K43,0)</f>
        <v>0.27236652236652231</v>
      </c>
      <c r="R89" s="191">
        <f t="shared" ref="R89:R91" si="112">IFERROR((Q89-O89)/O89,0)</f>
        <v>1.2974515024724227</v>
      </c>
      <c r="S89" s="236">
        <f>IFERROR('Ενεργές συνδέσεις'!AK19/'Παραδοχές διείσδυσης - κάλυψης'!L43,0)</f>
        <v>0.33963826577462936</v>
      </c>
      <c r="T89" s="191">
        <f t="shared" ref="T89:T91" si="113">IFERROR((S89-Q89)/Q89,0)</f>
        <v>0.24698976520168578</v>
      </c>
      <c r="U89" s="236">
        <f>IFERROR('Ενεργές συνδέσεις'!AP19/'Παραδοχές διείσδυσης - κάλυψης'!M43,0)</f>
        <v>0.32814121140567415</v>
      </c>
      <c r="V89" s="191">
        <f t="shared" ref="V89:V91" si="114">IFERROR((U89-S89)/S89,0)</f>
        <v>-3.3850880561803957E-2</v>
      </c>
      <c r="W89" s="236">
        <f>IFERROR('Ενεργές συνδέσεις'!AU19/'Παραδοχές διείσδυσης - κάλυψης'!N43,0)</f>
        <v>0.3072882956429161</v>
      </c>
      <c r="X89" s="191">
        <f t="shared" ref="X89:X91" si="115">IFERROR((W89-U89)/U89,0)</f>
        <v>-6.3548603582675348E-2</v>
      </c>
      <c r="Y89" s="237">
        <f t="shared" ref="Y89:Y91" si="116">IFERROR((W89/O89)^(1/4)-1,0)</f>
        <v>0.26884818085814599</v>
      </c>
    </row>
    <row r="90" spans="2:25" outlineLevel="1" x14ac:dyDescent="0.25">
      <c r="B90" s="52" t="s">
        <v>289</v>
      </c>
      <c r="C90" s="64" t="s">
        <v>55</v>
      </c>
      <c r="D90" s="235">
        <f>IFERROR('Ενεργές συνδέσεις'!E29/'Παραδοχές διείσδυσης - κάλυψης'!D44,0)</f>
        <v>0</v>
      </c>
      <c r="E90" s="236">
        <f>IFERROR('Ενεργές συνδέσεις'!G29/'Παραδοχές διείσδυσης - κάλυψης'!E44,0)</f>
        <v>0</v>
      </c>
      <c r="F90" s="191">
        <f t="shared" si="107"/>
        <v>0</v>
      </c>
      <c r="G90" s="236">
        <f>IFERROR('Ενεργές συνδέσεις'!J29/'Παραδοχές διείσδυσης - κάλυψης'!F44,0)</f>
        <v>0</v>
      </c>
      <c r="H90" s="191">
        <f t="shared" si="108"/>
        <v>0</v>
      </c>
      <c r="I90" s="236">
        <f>IFERROR('Ενεργές συνδέσεις'!M29/'Παραδοχές διείσδυσης - κάλυψης'!G44,0)</f>
        <v>0</v>
      </c>
      <c r="J90" s="191">
        <f t="shared" si="109"/>
        <v>0</v>
      </c>
      <c r="K90" s="236">
        <f>IFERROR('Ενεργές συνδέσεις'!S29/'Παραδοχές διείσδυσης - κάλυψης'!I44,0)</f>
        <v>0</v>
      </c>
      <c r="L90" s="191">
        <f t="shared" si="110"/>
        <v>0</v>
      </c>
      <c r="M90" s="237">
        <f t="shared" si="106"/>
        <v>0</v>
      </c>
      <c r="O90" s="236">
        <f>IFERROR('Ενεργές συνδέσεις'!AA20/'Παραδοχές διείσδυσης - κάλυψης'!J44,0)</f>
        <v>6.9864810330912019E-2</v>
      </c>
      <c r="P90" s="191">
        <f t="shared" si="111"/>
        <v>0</v>
      </c>
      <c r="Q90" s="236">
        <f>IFERROR('Ενεργές συνδέσεις'!AF20/'Παραδοχές διείσδυσης - κάλυψης'!K44,0)</f>
        <v>0.30273986841783446</v>
      </c>
      <c r="R90" s="191">
        <f t="shared" si="112"/>
        <v>3.3332239361120224</v>
      </c>
      <c r="S90" s="236">
        <f>IFERROR('Ενεργές συνδέσεις'!AK20/'Παραδοχές διείσδυσης - κάλυψης'!L44,0)</f>
        <v>0.42474325024402054</v>
      </c>
      <c r="T90" s="191">
        <f t="shared" si="113"/>
        <v>0.40299740653186744</v>
      </c>
      <c r="U90" s="236">
        <f>IFERROR('Ενεργές συνδέσεις'!AP20/'Παραδοχές διείσδυσης - κάλυψης'!M44,0)</f>
        <v>0.52023041937595771</v>
      </c>
      <c r="V90" s="191">
        <f t="shared" si="114"/>
        <v>0.22481150454322357</v>
      </c>
      <c r="W90" s="236">
        <f>IFERROR('Ενεργές συνδέσεις'!AU20/'Παραδοχές διείσδυσης - κάλυψης'!N44,0)</f>
        <v>0.53449432022952614</v>
      </c>
      <c r="X90" s="191">
        <f t="shared" si="115"/>
        <v>2.7418429069716248E-2</v>
      </c>
      <c r="Y90" s="237">
        <f t="shared" si="116"/>
        <v>0.66311068028520981</v>
      </c>
    </row>
    <row r="91" spans="2:25" ht="16.5" customHeight="1" outlineLevel="1" x14ac:dyDescent="0.25">
      <c r="B91" s="52" t="s">
        <v>290</v>
      </c>
      <c r="C91" s="138" t="s">
        <v>55</v>
      </c>
      <c r="D91" s="235">
        <f>IFERROR('Ενεργές συνδέσεις'!E30/'Παραδοχές διείσδυσης - κάλυψης'!D45,0)</f>
        <v>0</v>
      </c>
      <c r="E91" s="236">
        <f>IFERROR('Ενεργές συνδέσεις'!G30/'Παραδοχές διείσδυσης - κάλυψης'!E45,0)</f>
        <v>0</v>
      </c>
      <c r="F91" s="191">
        <f t="shared" si="107"/>
        <v>0</v>
      </c>
      <c r="G91" s="236">
        <f>IFERROR('Ενεργές συνδέσεις'!J30/'Παραδοχές διείσδυσης - κάλυψης'!F45,0)</f>
        <v>0</v>
      </c>
      <c r="H91" s="191">
        <f t="shared" si="108"/>
        <v>0</v>
      </c>
      <c r="I91" s="236">
        <f>IFERROR('Ενεργές συνδέσεις'!M30/'Παραδοχές διείσδυσης - κάλυψης'!G45,0)</f>
        <v>0</v>
      </c>
      <c r="J91" s="191">
        <f t="shared" si="109"/>
        <v>0</v>
      </c>
      <c r="K91" s="236">
        <f>IFERROR('Ενεργές συνδέσεις'!S30/'Παραδοχές διείσδυσης - κάλυψης'!I45,0)</f>
        <v>0</v>
      </c>
      <c r="L91" s="191">
        <f t="shared" si="110"/>
        <v>0</v>
      </c>
      <c r="M91" s="237">
        <f t="shared" si="106"/>
        <v>0</v>
      </c>
      <c r="N91" s="55"/>
      <c r="O91" s="236">
        <f>IFERROR('Ενεργές συνδέσεις'!AA21/'Παραδοχές διείσδυσης - κάλυψης'!J45,0)</f>
        <v>6.6606929510155302E-2</v>
      </c>
      <c r="P91" s="191">
        <f t="shared" si="111"/>
        <v>0</v>
      </c>
      <c r="Q91" s="236">
        <f>IFERROR('Ενεργές συνδέσεις'!AF21/'Παραδοχές διείσδυσης - κάλυψης'!K45,0)</f>
        <v>0.25836320191158896</v>
      </c>
      <c r="R91" s="191">
        <f t="shared" si="112"/>
        <v>2.8789237668161438</v>
      </c>
      <c r="S91" s="236">
        <f>IFERROR('Ενεργές συνδέσεις'!AK21/'Παραδοχές διείσδυσης - κάλυψης'!L45,0)</f>
        <v>0.38940233221758142</v>
      </c>
      <c r="T91" s="191">
        <f t="shared" si="113"/>
        <v>0.50718960493001486</v>
      </c>
      <c r="U91" s="236">
        <f>IFERROR('Ενεργές συνδέσεις'!AP21/'Παραδοχές διείσδυσης - κάλυψης'!M45,0)</f>
        <v>0.47321836511385956</v>
      </c>
      <c r="V91" s="191">
        <f t="shared" si="114"/>
        <v>0.21524276040916293</v>
      </c>
      <c r="W91" s="236">
        <f>IFERROR('Ενεργές συνδέσεις'!AU21/'Παραδοχές διείσδυσης - κάλυψης'!N45,0)</f>
        <v>0.48487223119442396</v>
      </c>
      <c r="X91" s="191">
        <f t="shared" si="115"/>
        <v>2.4626825456700949E-2</v>
      </c>
      <c r="Y91" s="237">
        <f t="shared" si="116"/>
        <v>0.64258167988290671</v>
      </c>
    </row>
    <row r="92" spans="2:25" ht="16.5" customHeight="1" outlineLevel="1" x14ac:dyDescent="0.25">
      <c r="B92" s="52" t="s">
        <v>291</v>
      </c>
      <c r="C92" s="138" t="s">
        <v>55</v>
      </c>
      <c r="D92" s="235">
        <f>IFERROR('Ενεργές συνδέσεις'!E31/'Παραδοχές διείσδυσης - κάλυψης'!D46,0)</f>
        <v>0</v>
      </c>
      <c r="E92" s="236">
        <f>IFERROR('Ενεργές συνδέσεις'!G31/'Παραδοχές διείσδυσης - κάλυψης'!E46,0)</f>
        <v>0</v>
      </c>
      <c r="F92" s="191">
        <f t="shared" ref="F92:F98" si="117">IFERROR((E92-D92)/D92,0)</f>
        <v>0</v>
      </c>
      <c r="G92" s="236">
        <f>IFERROR('Ενεργές συνδέσεις'!J31/'Παραδοχές διείσδυσης - κάλυψης'!F46,0)</f>
        <v>0</v>
      </c>
      <c r="H92" s="191">
        <f t="shared" ref="H92:H98" si="118">IFERROR((G92-E92)/E92,0)</f>
        <v>0</v>
      </c>
      <c r="I92" s="236">
        <f>IFERROR('Ενεργές συνδέσεις'!M31/'Παραδοχές διείσδυσης - κάλυψης'!G46,0)</f>
        <v>0</v>
      </c>
      <c r="J92" s="191">
        <f t="shared" ref="J92:J98" si="119">IFERROR((I92-G92)/G92,0)</f>
        <v>0</v>
      </c>
      <c r="K92" s="236">
        <f>IFERROR('Ενεργές συνδέσεις'!S31/'Παραδοχές διείσδυσης - κάλυψης'!I46,0)</f>
        <v>0</v>
      </c>
      <c r="L92" s="191">
        <f t="shared" ref="L92:L98" si="120">IFERROR((K92-I92)/I92,0)</f>
        <v>0</v>
      </c>
      <c r="M92" s="237">
        <f t="shared" ref="M92:M98" si="121">IFERROR((K92/D92)^(1/4)-1,0)</f>
        <v>0</v>
      </c>
      <c r="N92" s="55"/>
      <c r="O92" s="236">
        <f>IFERROR('Ενεργές συνδέσεις'!AA22/'Παραδοχές διείσδυσης - κάλυψης'!J46,0)</f>
        <v>1.2627272727272727</v>
      </c>
      <c r="P92" s="191">
        <f t="shared" ref="P92" si="122">IFERROR((O92-K92)/K92,0)</f>
        <v>0</v>
      </c>
      <c r="Q92" s="236">
        <f>IFERROR('Ενεργές συνδέσεις'!AF22/'Παραδοχές διείσδυσης - κάλυψης'!K46,0)</f>
        <v>1.3790909090909091</v>
      </c>
      <c r="R92" s="191">
        <f t="shared" ref="R92" si="123">IFERROR((Q92-O92)/O92,0)</f>
        <v>9.2152627789776884E-2</v>
      </c>
      <c r="S92" s="236">
        <f>IFERROR('Ενεργές συνδέσεις'!AK22/'Παραδοχές διείσδυσης - κάλυψης'!L46,0)</f>
        <v>1.405909090909091</v>
      </c>
      <c r="T92" s="191">
        <f t="shared" ref="T92" si="124">IFERROR((S92-Q92)/Q92,0)</f>
        <v>1.9446275543836544E-2</v>
      </c>
      <c r="U92" s="236">
        <f>IFERROR('Ενεργές συνδέσεις'!AP22/'Παραδοχές διείσδυσης - κάλυψης'!M46,0)</f>
        <v>1.4309090909090909</v>
      </c>
      <c r="V92" s="191">
        <f t="shared" ref="V92" si="125">IFERROR((U92-S92)/S92,0)</f>
        <v>1.7782088587132171E-2</v>
      </c>
      <c r="W92" s="236">
        <f>IFERROR('Ενεργές συνδέσεις'!AU22/'Παραδοχές διείσδυσης - κάλυψης'!N46,0)</f>
        <v>1.4486363636363637</v>
      </c>
      <c r="X92" s="191">
        <f t="shared" ref="X92" si="126">IFERROR((W92-U92)/U92,0)</f>
        <v>1.23888182973317E-2</v>
      </c>
      <c r="Y92" s="237">
        <f t="shared" ref="Y92" si="127">IFERROR((W92/O92)^(1/4)-1,0)</f>
        <v>3.4933525180300906E-2</v>
      </c>
    </row>
    <row r="93" spans="2:25" ht="16.5" customHeight="1" outlineLevel="1" x14ac:dyDescent="0.25">
      <c r="B93" s="52" t="s">
        <v>307</v>
      </c>
      <c r="C93" s="138" t="s">
        <v>55</v>
      </c>
      <c r="D93" s="235">
        <f>IFERROR('Ενεργές συνδέσεις'!E32/'Παραδοχές διείσδυσης - κάλυψης'!D47,0)</f>
        <v>0</v>
      </c>
      <c r="E93" s="236">
        <f>IFERROR('Ενεργές συνδέσεις'!G32/'Παραδοχές διείσδυσης - κάλυψης'!E47,0)</f>
        <v>0</v>
      </c>
      <c r="F93" s="191">
        <f t="shared" si="117"/>
        <v>0</v>
      </c>
      <c r="G93" s="236">
        <f>IFERROR('Ενεργές συνδέσεις'!J32/'Παραδοχές διείσδυσης - κάλυψης'!F47,0)</f>
        <v>0</v>
      </c>
      <c r="H93" s="191">
        <f t="shared" si="118"/>
        <v>0</v>
      </c>
      <c r="I93" s="236">
        <f>IFERROR('Ενεργές συνδέσεις'!M32/'Παραδοχές διείσδυσης - κάλυψης'!G47,0)</f>
        <v>0</v>
      </c>
      <c r="J93" s="191">
        <f t="shared" si="119"/>
        <v>0</v>
      </c>
      <c r="K93" s="236">
        <f>IFERROR('Ενεργές συνδέσεις'!S32/'Παραδοχές διείσδυσης - κάλυψης'!I47,0)</f>
        <v>0</v>
      </c>
      <c r="L93" s="191">
        <f t="shared" si="120"/>
        <v>0</v>
      </c>
      <c r="M93" s="237">
        <f t="shared" si="121"/>
        <v>0</v>
      </c>
      <c r="N93" s="55"/>
      <c r="O93" s="236">
        <f>IFERROR('Ενεργές συνδέσεις'!AA23/'Παραδοχές διείσδυσης - κάλυψης'!J47,0)</f>
        <v>0.04</v>
      </c>
      <c r="P93" s="191"/>
      <c r="Q93" s="236">
        <f>IFERROR('Ενεργές συνδέσεις'!AF23/'Παραδοχές διείσδυσης - κάλυψης'!K47,0)</f>
        <v>9.0606060606060607E-2</v>
      </c>
      <c r="R93" s="191"/>
      <c r="S93" s="236">
        <f>IFERROR('Ενεργές συνδέσεις'!AK23/'Παραδοχές διείσδυσης - κάλυψης'!L47,0)</f>
        <v>0.14000000000000001</v>
      </c>
      <c r="T93" s="191"/>
      <c r="U93" s="236">
        <f>IFERROR('Ενεργές συνδέσεις'!AP23/'Παραδοχές διείσδυσης - κάλυψης'!M47,0)</f>
        <v>0.15125</v>
      </c>
      <c r="V93" s="191"/>
      <c r="W93" s="236">
        <f>IFERROR('Ενεργές συνδέσεις'!AU23/'Παραδοχές διείσδυσης - κάλυψης'!N47,0)</f>
        <v>0.16255813953488371</v>
      </c>
      <c r="X93" s="191"/>
      <c r="Y93" s="237"/>
    </row>
    <row r="94" spans="2:25" ht="16.5" customHeight="1" outlineLevel="1" x14ac:dyDescent="0.25">
      <c r="B94" s="52" t="s">
        <v>304</v>
      </c>
      <c r="C94" s="138" t="s">
        <v>55</v>
      </c>
      <c r="D94" s="235">
        <f>IFERROR('Ενεργές συνδέσεις'!E33/'Παραδοχές διείσδυσης - κάλυψης'!D48,0)</f>
        <v>0</v>
      </c>
      <c r="E94" s="236">
        <f>IFERROR('Ενεργές συνδέσεις'!G33/'Παραδοχές διείσδυσης - κάλυψης'!E48,0)</f>
        <v>0</v>
      </c>
      <c r="F94" s="191">
        <f t="shared" si="117"/>
        <v>0</v>
      </c>
      <c r="G94" s="236">
        <f>IFERROR('Ενεργές συνδέσεις'!J33/'Παραδοχές διείσδυσης - κάλυψης'!F48,0)</f>
        <v>0</v>
      </c>
      <c r="H94" s="191">
        <f t="shared" si="118"/>
        <v>0</v>
      </c>
      <c r="I94" s="236">
        <f>IFERROR('Ενεργές συνδέσεις'!M33/'Παραδοχές διείσδυσης - κάλυψης'!G48,0)</f>
        <v>0</v>
      </c>
      <c r="J94" s="191">
        <f t="shared" si="119"/>
        <v>0</v>
      </c>
      <c r="K94" s="236">
        <f>IFERROR('Ενεργές συνδέσεις'!S33/'Παραδοχές διείσδυσης - κάλυψης'!I48,0)</f>
        <v>0</v>
      </c>
      <c r="L94" s="191">
        <f t="shared" si="120"/>
        <v>0</v>
      </c>
      <c r="M94" s="237">
        <f t="shared" si="121"/>
        <v>0</v>
      </c>
      <c r="N94" s="55"/>
      <c r="O94" s="236">
        <f>IFERROR('Ενεργές συνδέσεις'!AA24/'Παραδοχές διείσδυσης - κάλυψης'!J48,0)</f>
        <v>4.2000000000000003E-2</v>
      </c>
      <c r="P94" s="191"/>
      <c r="Q94" s="236">
        <f>IFERROR('Ενεργές συνδέσεις'!AF24/'Παραδοχές διείσδυσης - κάλυψης'!K48,0)</f>
        <v>9.2424242424242423E-2</v>
      </c>
      <c r="R94" s="191"/>
      <c r="S94" s="236">
        <f>IFERROR('Ενεργές συνδέσεις'!AK24/'Παραδοχές διείσδυσης - κάλυψης'!L48,0)</f>
        <v>0.17</v>
      </c>
      <c r="T94" s="191"/>
      <c r="U94" s="236">
        <f>IFERROR('Ενεργές συνδέσεις'!AP24/'Παραδοχές διείσδυσης - κάλυψης'!M48,0)</f>
        <v>0.1825</v>
      </c>
      <c r="V94" s="191"/>
      <c r="W94" s="236">
        <f>IFERROR('Ενεργές συνδέσεις'!AU24/'Παραδοχές διείσδυσης - κάλυψης'!N48,0)</f>
        <v>0.19162790697674417</v>
      </c>
      <c r="X94" s="191"/>
      <c r="Y94" s="237"/>
    </row>
    <row r="95" spans="2:25" ht="16.5" customHeight="1" outlineLevel="1" x14ac:dyDescent="0.25">
      <c r="B95" s="52" t="s">
        <v>305</v>
      </c>
      <c r="C95" s="138" t="s">
        <v>55</v>
      </c>
      <c r="D95" s="235">
        <f>IFERROR('Ενεργές συνδέσεις'!E34/'Παραδοχές διείσδυσης - κάλυψης'!D49,0)</f>
        <v>0</v>
      </c>
      <c r="E95" s="236">
        <f>IFERROR('Ενεργές συνδέσεις'!G34/'Παραδοχές διείσδυσης - κάλυψης'!E49,0)</f>
        <v>0</v>
      </c>
      <c r="F95" s="191">
        <f t="shared" si="117"/>
        <v>0</v>
      </c>
      <c r="G95" s="236">
        <f>IFERROR('Ενεργές συνδέσεις'!J34/'Παραδοχές διείσδυσης - κάλυψης'!F49,0)</f>
        <v>0</v>
      </c>
      <c r="H95" s="191">
        <f t="shared" si="118"/>
        <v>0</v>
      </c>
      <c r="I95" s="236">
        <f>IFERROR('Ενεργές συνδέσεις'!M34/'Παραδοχές διείσδυσης - κάλυψης'!G49,0)</f>
        <v>0</v>
      </c>
      <c r="J95" s="191">
        <f t="shared" si="119"/>
        <v>0</v>
      </c>
      <c r="K95" s="236">
        <f>IFERROR('Ενεργές συνδέσεις'!S34/'Παραδοχές διείσδυσης - κάλυψης'!I49,0)</f>
        <v>0</v>
      </c>
      <c r="L95" s="191">
        <f t="shared" si="120"/>
        <v>0</v>
      </c>
      <c r="M95" s="237">
        <f t="shared" si="121"/>
        <v>0</v>
      </c>
      <c r="N95" s="55"/>
      <c r="O95" s="236">
        <f>IFERROR('Ενεργές συνδέσεις'!AA25/'Παραδοχές διείσδυσης - κάλυψης'!J49,0)</f>
        <v>4.0666666666666663E-2</v>
      </c>
      <c r="P95" s="191"/>
      <c r="Q95" s="236">
        <f>IFERROR('Ενεργές συνδέσεις'!AF25/'Παραδοχές διείσδυσης - κάλυψης'!K49,0)</f>
        <v>9.1212121212121217E-2</v>
      </c>
      <c r="R95" s="191"/>
      <c r="S95" s="236">
        <f>IFERROR('Ενεργές συνδέσεις'!AK25/'Παραδοχές διείσδυσης - κάλυψης'!L49,0)</f>
        <v>0.15742857142857142</v>
      </c>
      <c r="T95" s="191"/>
      <c r="U95" s="236">
        <f>IFERROR('Ενεργές συνδέσεις'!AP25/'Παραδοχές διείσδυσης - κάλυψης'!M49,0)</f>
        <v>0.16650000000000001</v>
      </c>
      <c r="V95" s="191"/>
      <c r="W95" s="236">
        <f>IFERROR('Ενεργές συνδέσεις'!AU25/'Παραδοχές διείσδυσης - κάλυψης'!N49,0)</f>
        <v>0.17674418604651163</v>
      </c>
      <c r="X95" s="191"/>
      <c r="Y95" s="237"/>
    </row>
    <row r="96" spans="2:25" ht="16.5" customHeight="1" outlineLevel="1" x14ac:dyDescent="0.25">
      <c r="B96" s="52" t="s">
        <v>306</v>
      </c>
      <c r="C96" s="138" t="s">
        <v>55</v>
      </c>
      <c r="D96" s="235">
        <f>IFERROR('Ενεργές συνδέσεις'!E35/'Παραδοχές διείσδυσης - κάλυψης'!D50,0)</f>
        <v>0</v>
      </c>
      <c r="E96" s="236">
        <f>IFERROR('Ενεργές συνδέσεις'!G35/'Παραδοχές διείσδυσης - κάλυψης'!E50,0)</f>
        <v>0</v>
      </c>
      <c r="F96" s="191">
        <f t="shared" si="117"/>
        <v>0</v>
      </c>
      <c r="G96" s="236">
        <f>IFERROR('Ενεργές συνδέσεις'!J35/'Παραδοχές διείσδυσης - κάλυψης'!F50,0)</f>
        <v>0</v>
      </c>
      <c r="H96" s="191">
        <f t="shared" si="118"/>
        <v>0</v>
      </c>
      <c r="I96" s="236">
        <f>IFERROR('Ενεργές συνδέσεις'!M35/'Παραδοχές διείσδυσης - κάλυψης'!G50,0)</f>
        <v>0</v>
      </c>
      <c r="J96" s="191">
        <f t="shared" si="119"/>
        <v>0</v>
      </c>
      <c r="K96" s="236">
        <f>IFERROR('Ενεργές συνδέσεις'!S35/'Παραδοχές διείσδυσης - κάλυψης'!I50,0)</f>
        <v>0</v>
      </c>
      <c r="L96" s="191">
        <f t="shared" si="120"/>
        <v>0</v>
      </c>
      <c r="M96" s="237">
        <f t="shared" si="121"/>
        <v>0</v>
      </c>
      <c r="N96" s="55"/>
      <c r="O96" s="236">
        <f>IFERROR('Ενεργές συνδέσεις'!AA26/'Παραδοχές διείσδυσης - κάλυψης'!J50,0)</f>
        <v>8.6333333333333331E-2</v>
      </c>
      <c r="P96" s="191"/>
      <c r="Q96" s="236">
        <f>IFERROR('Ενεργές συνδέσεις'!AF26/'Παραδοχές διείσδυσης - κάλυψης'!K50,0)</f>
        <v>0.1690909090909091</v>
      </c>
      <c r="R96" s="191"/>
      <c r="S96" s="236">
        <f>IFERROR('Ενεργές συνδέσεις'!AK26/'Παραδοχές διείσδυσης - κάλυψης'!L50,0)</f>
        <v>0.26371428571428573</v>
      </c>
      <c r="T96" s="191"/>
      <c r="U96" s="236">
        <f>IFERROR('Ενεργές συνδέσεις'!AP26/'Παραδοχές διείσδυσης - κάλυψης'!M50,0)</f>
        <v>0.3165</v>
      </c>
      <c r="V96" s="191"/>
      <c r="W96" s="236">
        <f>IFERROR('Ενεργές συνδέσεις'!AU26/'Παραδοχές διείσδυσης - κάλυψης'!N50,0)</f>
        <v>0.34790697674418603</v>
      </c>
      <c r="X96" s="191"/>
      <c r="Y96" s="237"/>
    </row>
    <row r="97" spans="2:33" ht="16.5" customHeight="1" outlineLevel="1" x14ac:dyDescent="0.25">
      <c r="B97" s="52" t="s">
        <v>308</v>
      </c>
      <c r="C97" s="138" t="s">
        <v>55</v>
      </c>
      <c r="D97" s="235">
        <f>IFERROR('Ενεργές συνδέσεις'!E36/'Παραδοχές διείσδυσης - κάλυψης'!D51,0)</f>
        <v>0</v>
      </c>
      <c r="E97" s="236">
        <f>IFERROR('Ενεργές συνδέσεις'!G36/'Παραδοχές διείσδυσης - κάλυψης'!E51,0)</f>
        <v>0</v>
      </c>
      <c r="F97" s="191">
        <f t="shared" si="117"/>
        <v>0</v>
      </c>
      <c r="G97" s="236">
        <f>IFERROR('Ενεργές συνδέσεις'!J36/'Παραδοχές διείσδυσης - κάλυψης'!F51,0)</f>
        <v>0</v>
      </c>
      <c r="H97" s="191">
        <f t="shared" si="118"/>
        <v>0</v>
      </c>
      <c r="I97" s="236">
        <f>IFERROR('Ενεργές συνδέσεις'!M36/'Παραδοχές διείσδυσης - κάλυψης'!G51,0)</f>
        <v>0</v>
      </c>
      <c r="J97" s="191">
        <f t="shared" si="119"/>
        <v>0</v>
      </c>
      <c r="K97" s="236">
        <f>IFERROR('Ενεργές συνδέσεις'!S36/'Παραδοχές διείσδυσης - κάλυψης'!I51,0)</f>
        <v>0</v>
      </c>
      <c r="L97" s="191">
        <f t="shared" si="120"/>
        <v>0</v>
      </c>
      <c r="M97" s="237">
        <f t="shared" si="121"/>
        <v>0</v>
      </c>
      <c r="N97" s="55"/>
      <c r="O97" s="236">
        <f>IFERROR('Ενεργές συνδέσεις'!AA27/'Παραδοχές διείσδυσης - κάλυψης'!J51,0)</f>
        <v>6.9000000000000006E-2</v>
      </c>
      <c r="P97" s="191"/>
      <c r="Q97" s="236">
        <f>IFERROR('Ενεργές συνδέσεις'!AF27/'Παραδοχές διείσδυσης - κάλυψης'!K51,0)</f>
        <v>0.14272727272727273</v>
      </c>
      <c r="R97" s="191"/>
      <c r="S97" s="236">
        <f>IFERROR('Ενεργές συνδέσεις'!AK27/'Παραδοχές διείσδυσης - κάλυψης'!L51,0)</f>
        <v>0.222</v>
      </c>
      <c r="T97" s="191"/>
      <c r="U97" s="236">
        <f>IFERROR('Ενεργές συνδέσεις'!AP27/'Παραδοχές διείσδυσης - κάλυψης'!M51,0)</f>
        <v>0.25724999999999998</v>
      </c>
      <c r="V97" s="191"/>
      <c r="W97" s="236">
        <f>IFERROR('Ενεργές συνδέσεις'!AU27/'Παραδοχές διείσδυσης - κάλυψης'!N51,0)</f>
        <v>0.29627906976744184</v>
      </c>
      <c r="X97" s="191"/>
      <c r="Y97" s="237"/>
    </row>
    <row r="98" spans="2:33" ht="16.5" customHeight="1" outlineLevel="1" x14ac:dyDescent="0.25">
      <c r="B98" s="52"/>
      <c r="C98" s="138"/>
      <c r="D98" s="235">
        <f>IFERROR('Ενεργές συνδέσεις'!E37/'Παραδοχές διείσδυσης - κάλυψης'!D52,0)</f>
        <v>0</v>
      </c>
      <c r="E98" s="236">
        <f>IFERROR('Ενεργές συνδέσεις'!G37/'Παραδοχές διείσδυσης - κάλυψης'!E52,0)</f>
        <v>0</v>
      </c>
      <c r="F98" s="191">
        <f t="shared" si="117"/>
        <v>0</v>
      </c>
      <c r="G98" s="236">
        <f>IFERROR('Ενεργές συνδέσεις'!J37/'Παραδοχές διείσδυσης - κάλυψης'!F52,0)</f>
        <v>0</v>
      </c>
      <c r="H98" s="191">
        <f t="shared" si="118"/>
        <v>0</v>
      </c>
      <c r="I98" s="236">
        <f>IFERROR('Ενεργές συνδέσεις'!M37/'Παραδοχές διείσδυσης - κάλυψης'!G52,0)</f>
        <v>0</v>
      </c>
      <c r="J98" s="191">
        <f t="shared" si="119"/>
        <v>0</v>
      </c>
      <c r="K98" s="236">
        <f>IFERROR('Ενεργές συνδέσεις'!S37/'Παραδοχές διείσδυσης - κάλυψης'!I52,0)</f>
        <v>0</v>
      </c>
      <c r="L98" s="191">
        <f t="shared" si="120"/>
        <v>0</v>
      </c>
      <c r="M98" s="237">
        <f t="shared" si="121"/>
        <v>0</v>
      </c>
      <c r="N98" s="55"/>
      <c r="O98" s="236">
        <f>IFERROR('Ενεργές συνδέσεις'!AA28/'Παραδοχές διείσδυσης - κάλυψης'!J52,0)</f>
        <v>0</v>
      </c>
      <c r="P98" s="191"/>
      <c r="Q98" s="236">
        <f>IFERROR('Ενεργές συνδέσεις'!AF28/'Παραδοχές διείσδυσης - κάλυψης'!K52,0)</f>
        <v>0</v>
      </c>
      <c r="R98" s="191"/>
      <c r="S98" s="236">
        <f>IFERROR('Ενεργές συνδέσεις'!AK28/'Παραδοχές διείσδυσης - κάλυψης'!L52,0)</f>
        <v>0</v>
      </c>
      <c r="T98" s="191"/>
      <c r="U98" s="236">
        <f>IFERROR('Ενεργές συνδέσεις'!AP28/'Παραδοχές διείσδυσης - κάλυψης'!M52,0)</f>
        <v>0</v>
      </c>
      <c r="V98" s="191"/>
      <c r="W98" s="236">
        <f>IFERROR('Ενεργές συνδέσεις'!AU28/'Παραδοχές διείσδυσης - κάλυψης'!N52,0)</f>
        <v>0</v>
      </c>
      <c r="X98" s="191"/>
      <c r="Y98" s="237"/>
    </row>
    <row r="99" spans="2:33" ht="15" customHeight="1" outlineLevel="1" x14ac:dyDescent="0.25">
      <c r="B99" s="437" t="s">
        <v>90</v>
      </c>
      <c r="C99" s="438"/>
      <c r="D99" s="438"/>
      <c r="E99" s="438"/>
      <c r="F99" s="438"/>
      <c r="G99" s="438"/>
      <c r="H99" s="438"/>
      <c r="I99" s="438"/>
      <c r="J99" s="438"/>
      <c r="K99" s="438"/>
      <c r="L99" s="438"/>
      <c r="M99" s="438"/>
      <c r="N99" s="438"/>
      <c r="O99" s="438"/>
      <c r="P99" s="438"/>
      <c r="Q99" s="438"/>
      <c r="R99" s="438"/>
      <c r="S99" s="438"/>
      <c r="T99" s="438"/>
      <c r="U99" s="438"/>
      <c r="V99" s="438"/>
      <c r="W99" s="438"/>
      <c r="X99" s="438"/>
      <c r="Y99" s="439"/>
    </row>
    <row r="100" spans="2:33" ht="15" customHeight="1" outlineLevel="1" x14ac:dyDescent="0.25">
      <c r="B100" s="52" t="s">
        <v>82</v>
      </c>
      <c r="C100" s="49" t="s">
        <v>55</v>
      </c>
      <c r="D100" s="235">
        <f>IFERROR('Ενεργές συνδέσεις'!E30/'Παραδοχές διείσδυσης - κάλυψης'!D54,0)</f>
        <v>0</v>
      </c>
      <c r="E100" s="236">
        <f>IFERROR('Ενεργές συνδέσεις'!G30/'Παραδοχές διείσδυσης - κάλυψης'!E54,0)</f>
        <v>0</v>
      </c>
      <c r="F100" s="191">
        <f t="shared" si="96"/>
        <v>0</v>
      </c>
      <c r="G100" s="236">
        <f>IFERROR('Ενεργές συνδέσεις'!J30/'Παραδοχές διείσδυσης - κάλυψης'!F54,0)</f>
        <v>0</v>
      </c>
      <c r="H100" s="191">
        <f t="shared" si="97"/>
        <v>0</v>
      </c>
      <c r="I100" s="236">
        <f>IFERROR('Ενεργές συνδέσεις'!M30/'Παραδοχές διείσδυσης - κάλυψης'!G54,0)</f>
        <v>0</v>
      </c>
      <c r="J100" s="191">
        <f t="shared" si="98"/>
        <v>0</v>
      </c>
      <c r="K100" s="236">
        <f>IFERROR('Ενεργές συνδέσεις'!S30/'Παραδοχές διείσδυσης - κάλυψης'!I54,0)</f>
        <v>0</v>
      </c>
      <c r="L100" s="191">
        <f t="shared" si="99"/>
        <v>0</v>
      </c>
      <c r="M100" s="237">
        <f>IFERROR((K100/D100)^(1/4)-1,0)</f>
        <v>0</v>
      </c>
      <c r="O100" s="236">
        <f>IFERROR('Ενεργές συνδέσεις'!AA30/'Παραδοχές διείσδυσης - κάλυψης'!J54,0)</f>
        <v>0.10208343570340524</v>
      </c>
      <c r="P100" s="191">
        <f t="shared" si="100"/>
        <v>0</v>
      </c>
      <c r="Q100" s="236">
        <f>IFERROR('Ενεργές συνδέσεις'!AF30/'Παραδοχές διείσδυσης - κάλυψης'!K54,0)</f>
        <v>0.26917118295855019</v>
      </c>
      <c r="R100" s="191">
        <f t="shared" si="101"/>
        <v>1.6367762909215189</v>
      </c>
      <c r="S100" s="236">
        <f>IFERROR('Ενεργές συνδέσεις'!AK30/'Παραδοχές διείσδυσης - κάλυψης'!L54,0)</f>
        <v>0.36991997844892383</v>
      </c>
      <c r="T100" s="191">
        <f t="shared" si="102"/>
        <v>0.37429265043534765</v>
      </c>
      <c r="U100" s="236">
        <f>IFERROR('Ενεργές συνδέσεις'!AP30/'Παραδοχές διείσδυσης - κάλυψης'!M54,0)</f>
        <v>0.41213791780117975</v>
      </c>
      <c r="V100" s="191">
        <f t="shared" si="103"/>
        <v>0.11412722159337255</v>
      </c>
      <c r="W100" s="236">
        <f>IFERROR('Ενεργές συνδέσεις'!AU30/'Παραδοχές διείσδυσης - κάλυψης'!N54,0)</f>
        <v>0.41339440433595753</v>
      </c>
      <c r="X100" s="191">
        <f t="shared" si="104"/>
        <v>3.0487040393694684E-3</v>
      </c>
      <c r="Y100" s="237">
        <f t="shared" si="105"/>
        <v>0.41857508829045131</v>
      </c>
    </row>
    <row r="101" spans="2:33" x14ac:dyDescent="0.25">
      <c r="N101" s="55"/>
    </row>
    <row r="102" spans="2:33" ht="15.75" x14ac:dyDescent="0.25">
      <c r="B102" s="352" t="s">
        <v>35</v>
      </c>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row>
    <row r="103" spans="2:33" ht="5.45" customHeight="1" outlineLevel="1" x14ac:dyDescent="0.2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row>
    <row r="104" spans="2:33" ht="14.25" customHeight="1" outlineLevel="1" x14ac:dyDescent="0.25">
      <c r="B104" s="382"/>
      <c r="C104" s="412" t="s">
        <v>20</v>
      </c>
      <c r="D104" s="372" t="s">
        <v>262</v>
      </c>
      <c r="E104" s="373"/>
      <c r="F104" s="373"/>
      <c r="G104" s="373"/>
      <c r="H104" s="373"/>
      <c r="I104" s="373"/>
      <c r="J104" s="374"/>
      <c r="K104" s="373" t="s">
        <v>260</v>
      </c>
      <c r="L104" s="374"/>
      <c r="M104" s="434" t="str">
        <f>"Ετήσιος ρυθμός ανάπτυξης (CAGR) "&amp;($C$3-5)&amp;" - "&amp;(($C$3-1))</f>
        <v>Ετήσιος ρυθμός ανάπτυξης (CAGR) 2018 - 2022</v>
      </c>
      <c r="N104" s="115"/>
      <c r="O104" s="440" t="s">
        <v>261</v>
      </c>
      <c r="P104" s="441"/>
      <c r="Q104" s="441"/>
      <c r="R104" s="441"/>
      <c r="S104" s="441"/>
      <c r="T104" s="441"/>
      <c r="U104" s="441"/>
      <c r="V104" s="441"/>
      <c r="W104" s="441"/>
      <c r="X104" s="442"/>
      <c r="Y104" s="434" t="str">
        <f>"Ετήσιος ρυθμός ανάπτυξης (CAGR) "&amp;$C$3&amp;" - "&amp;$E$3</f>
        <v>Ετήσιος ρυθμός ανάπτυξης (CAGR) 2023 - 2027</v>
      </c>
    </row>
    <row r="105" spans="2:33" ht="15.75" customHeight="1" outlineLevel="1" x14ac:dyDescent="0.25">
      <c r="B105" s="383"/>
      <c r="C105" s="413"/>
      <c r="D105" s="69">
        <f>$C$3-5</f>
        <v>2018</v>
      </c>
      <c r="E105" s="372">
        <f>$C$3-4</f>
        <v>2019</v>
      </c>
      <c r="F105" s="374"/>
      <c r="G105" s="372">
        <f>$C$3-3</f>
        <v>2020</v>
      </c>
      <c r="H105" s="374"/>
      <c r="I105" s="372">
        <f>$C$3+-2</f>
        <v>2021</v>
      </c>
      <c r="J105" s="374"/>
      <c r="K105" s="372">
        <f>$C$3-1</f>
        <v>2022</v>
      </c>
      <c r="L105" s="374"/>
      <c r="M105" s="435"/>
      <c r="N105" s="115"/>
      <c r="O105" s="372">
        <f>$C$3</f>
        <v>2023</v>
      </c>
      <c r="P105" s="374"/>
      <c r="Q105" s="372">
        <f>$C$3+1</f>
        <v>2024</v>
      </c>
      <c r="R105" s="374"/>
      <c r="S105" s="372">
        <f>$C$3+2</f>
        <v>2025</v>
      </c>
      <c r="T105" s="374"/>
      <c r="U105" s="372">
        <f>$C$3+3</f>
        <v>2026</v>
      </c>
      <c r="V105" s="374"/>
      <c r="W105" s="372">
        <f>$C$3+4</f>
        <v>2027</v>
      </c>
      <c r="X105" s="374"/>
      <c r="Y105" s="435"/>
    </row>
    <row r="106" spans="2:33" outlineLevel="1" x14ac:dyDescent="0.25">
      <c r="B106" s="384"/>
      <c r="C106" s="414"/>
      <c r="D106" s="69" t="s">
        <v>93</v>
      </c>
      <c r="E106" s="69" t="s">
        <v>93</v>
      </c>
      <c r="F106" s="68" t="s">
        <v>81</v>
      </c>
      <c r="G106" s="69" t="s">
        <v>93</v>
      </c>
      <c r="H106" s="68" t="s">
        <v>81</v>
      </c>
      <c r="I106" s="69" t="s">
        <v>93</v>
      </c>
      <c r="J106" s="68" t="s">
        <v>81</v>
      </c>
      <c r="K106" s="69" t="s">
        <v>93</v>
      </c>
      <c r="L106" s="68" t="s">
        <v>81</v>
      </c>
      <c r="M106" s="436"/>
      <c r="O106" s="69" t="s">
        <v>93</v>
      </c>
      <c r="P106" s="68" t="s">
        <v>81</v>
      </c>
      <c r="Q106" s="69" t="s">
        <v>93</v>
      </c>
      <c r="R106" s="68" t="s">
        <v>81</v>
      </c>
      <c r="S106" s="69" t="s">
        <v>93</v>
      </c>
      <c r="T106" s="68" t="s">
        <v>81</v>
      </c>
      <c r="U106" s="69" t="s">
        <v>93</v>
      </c>
      <c r="V106" s="68" t="s">
        <v>81</v>
      </c>
      <c r="W106" s="69" t="s">
        <v>93</v>
      </c>
      <c r="X106" s="68" t="s">
        <v>81</v>
      </c>
      <c r="Y106" s="436"/>
    </row>
    <row r="107" spans="2:33" outlineLevel="1" x14ac:dyDescent="0.25">
      <c r="B107" s="281" t="s">
        <v>283</v>
      </c>
      <c r="C107" s="64" t="s">
        <v>55</v>
      </c>
      <c r="D107" s="235">
        <f>IFERROR('Παραδοχές διείσδυσης - κάλυψης'!D60/'Παραδοχές διείσδυσης - κάλυψης'!D82,0)</f>
        <v>0</v>
      </c>
      <c r="E107" s="236">
        <f>IFERROR('Παραδοχές διείσδυσης - κάλυψης'!E60/'Παραδοχές διείσδυσης - κάλυψης'!E82,0)</f>
        <v>0</v>
      </c>
      <c r="F107" s="191">
        <f>IFERROR((E107-D107)/D107,0)</f>
        <v>0</v>
      </c>
      <c r="G107" s="236">
        <f>IFERROR('Παραδοχές διείσδυσης - κάλυψης'!F60/'Παραδοχές διείσδυσης - κάλυψης'!F82,0)</f>
        <v>0</v>
      </c>
      <c r="H107" s="191">
        <f>IFERROR((G107-E107)/E107,0)</f>
        <v>0</v>
      </c>
      <c r="I107" s="236">
        <f>IFERROR('Παραδοχές διείσδυσης - κάλυψης'!G60/'Παραδοχές διείσδυσης - κάλυψης'!G82,0)</f>
        <v>0</v>
      </c>
      <c r="J107" s="191">
        <f>IFERROR((I107-G107)/G107,0)</f>
        <v>0</v>
      </c>
      <c r="K107" s="236">
        <f>IFERROR('Παραδοχές διείσδυσης - κάλυψης'!I60/'Παραδοχές διείσδυσης - κάλυψης'!I82,0)</f>
        <v>0</v>
      </c>
      <c r="L107" s="191">
        <f>IFERROR((K107-I107)/I107,0)</f>
        <v>0</v>
      </c>
      <c r="M107" s="237">
        <f t="shared" ref="M107:M110" si="128">IFERROR((K107/D107)^(1/4)-1,0)</f>
        <v>0</v>
      </c>
      <c r="O107" s="236">
        <f>IFERROR('Παραδοχές διείσδυσης - κάλυψης'!J60/'Παραδοχές διείσδυσης - κάλυψης'!J82,0)</f>
        <v>0.77777777777777779</v>
      </c>
      <c r="P107" s="191">
        <f>IFERROR((O107-K107)/K107,0)</f>
        <v>0</v>
      </c>
      <c r="Q107" s="236">
        <f>IFERROR('Παραδοχές διείσδυσης - κάλυψης'!K60/'Παραδοχές διείσδυσης - κάλυψης'!K82,0)</f>
        <v>0.96411006787790121</v>
      </c>
      <c r="R107" s="191">
        <f>IFERROR((Q107-O107)/O107,0)</f>
        <v>0.23957008727158724</v>
      </c>
      <c r="S107" s="236">
        <f>IFERROR('Παραδοχές διείσδυσης - κάλυψης'!L60/'Παραδοχές διείσδυσης - κάλυψης'!L82,0)</f>
        <v>0.82365250407188095</v>
      </c>
      <c r="T107" s="191">
        <f>IFERROR((S107-Q107)/Q107,0)</f>
        <v>-0.14568623281279577</v>
      </c>
      <c r="U107" s="236">
        <f>IFERROR('Παραδοχές διείσδυσης - κάλυψης'!M60/'Παραδοχές διείσδυσης - κάλυψης'!M82,0)</f>
        <v>0.80273048474111441</v>
      </c>
      <c r="V107" s="191">
        <f>IFERROR((U107-S107)/S107,0)</f>
        <v>-2.5401512442850115E-2</v>
      </c>
      <c r="W107" s="236">
        <f>IFERROR('Παραδοχές διείσδυσης - κάλυψης'!N60/'Παραδοχές διείσδυσης - κάλυψης'!N82,0)</f>
        <v>0.87654134316812715</v>
      </c>
      <c r="X107" s="191">
        <f>IFERROR((W107-U107)/U107,0)</f>
        <v>9.1949738835217149E-2</v>
      </c>
      <c r="Y107" s="237">
        <f>IFERROR((W107/O107)^(1/4)-1,0)</f>
        <v>3.0336816663093735E-2</v>
      </c>
    </row>
    <row r="108" spans="2:33" outlineLevel="1" x14ac:dyDescent="0.25">
      <c r="B108" s="52" t="s">
        <v>284</v>
      </c>
      <c r="C108" s="64" t="s">
        <v>55</v>
      </c>
      <c r="D108" s="235">
        <f>IFERROR('Παραδοχές διείσδυσης - κάλυψης'!D61/'Παραδοχές διείσδυσης - κάλυψης'!D83,0)</f>
        <v>0</v>
      </c>
      <c r="E108" s="236">
        <f>IFERROR('Παραδοχές διείσδυσης - κάλυψης'!E61/'Παραδοχές διείσδυσης - κάλυψης'!E83,0)</f>
        <v>0</v>
      </c>
      <c r="F108" s="191">
        <f t="shared" ref="F108:F123" si="129">IFERROR((E108-D108)/D108,0)</f>
        <v>0</v>
      </c>
      <c r="G108" s="236">
        <f>IFERROR('Παραδοχές διείσδυσης - κάλυψης'!F61/'Παραδοχές διείσδυσης - κάλυψης'!F83,0)</f>
        <v>0</v>
      </c>
      <c r="H108" s="191">
        <f t="shared" ref="H108:H123" si="130">IFERROR((G108-E108)/E108,0)</f>
        <v>0</v>
      </c>
      <c r="I108" s="236">
        <f>IFERROR('Παραδοχές διείσδυσης - κάλυψης'!G61/'Παραδοχές διείσδυσης - κάλυψης'!G83,0)</f>
        <v>0</v>
      </c>
      <c r="J108" s="191">
        <f t="shared" ref="J108:J123" si="131">IFERROR((I108-G108)/G108,0)</f>
        <v>0</v>
      </c>
      <c r="K108" s="236">
        <f>IFERROR('Παραδοχές διείσδυσης - κάλυψης'!I61/'Παραδοχές διείσδυσης - κάλυψης'!I83,0)</f>
        <v>0</v>
      </c>
      <c r="L108" s="191">
        <f t="shared" ref="L108:L123" si="132">IFERROR((K108-I108)/I108,0)</f>
        <v>0</v>
      </c>
      <c r="M108" s="237">
        <f t="shared" si="128"/>
        <v>0</v>
      </c>
      <c r="N108" s="55"/>
      <c r="O108" s="236">
        <f>IFERROR('Παραδοχές διείσδυσης - κάλυψης'!J61/'Παραδοχές διείσδυσης - κάλυψης'!J83,0)</f>
        <v>0.70175438596491224</v>
      </c>
      <c r="P108" s="191">
        <f t="shared" ref="P108:P123" si="133">IFERROR((O108-K108)/K108,0)</f>
        <v>0</v>
      </c>
      <c r="Q108" s="236">
        <f>IFERROR('Παραδοχές διείσδυσης - κάλυψης'!K61/'Παραδοχές διείσδυσης - κάλυψης'!K83,0)</f>
        <v>0.740043900909376</v>
      </c>
      <c r="R108" s="191">
        <f t="shared" ref="R108:R123" si="134">IFERROR((Q108-O108)/O108,0)</f>
        <v>5.4562558795860853E-2</v>
      </c>
      <c r="S108" s="236">
        <f>IFERROR('Παραδοχές διείσδυσης - κάλυψης'!L61/'Παραδοχές διείσδυσης - κάλυψης'!L83,0)</f>
        <v>0.740043900909376</v>
      </c>
      <c r="T108" s="191">
        <f t="shared" ref="T108:T123" si="135">IFERROR((S108-Q108)/Q108,0)</f>
        <v>0</v>
      </c>
      <c r="U108" s="236">
        <f>IFERROR('Παραδοχές διείσδυσης - κάλυψης'!M61/'Παραδοχές διείσδυσης - κάλυψης'!M83,0)</f>
        <v>0.740043900909376</v>
      </c>
      <c r="V108" s="191">
        <f t="shared" ref="V108:V123" si="136">IFERROR((U108-S108)/S108,0)</f>
        <v>0</v>
      </c>
      <c r="W108" s="236">
        <f>IFERROR('Παραδοχές διείσδυσης - κάλυψης'!N61/'Παραδοχές διείσδυσης - κάλυψης'!N83,0)</f>
        <v>0.740043900909376</v>
      </c>
      <c r="X108" s="191">
        <f t="shared" ref="X108:X123" si="137">IFERROR((W108-U108)/U108,0)</f>
        <v>0</v>
      </c>
      <c r="Y108" s="237">
        <f t="shared" ref="Y108:Y123" si="138">IFERROR((W108/O108)^(1/4)-1,0)</f>
        <v>1.3370102225364722E-2</v>
      </c>
    </row>
    <row r="109" spans="2:33" outlineLevel="1" x14ac:dyDescent="0.25">
      <c r="B109" s="52" t="s">
        <v>285</v>
      </c>
      <c r="C109" s="64" t="s">
        <v>55</v>
      </c>
      <c r="D109" s="235">
        <f>IFERROR('Παραδοχές διείσδυσης - κάλυψης'!D62/'Παραδοχές διείσδυσης - κάλυψης'!D84,0)</f>
        <v>0</v>
      </c>
      <c r="E109" s="236">
        <f>IFERROR('Παραδοχές διείσδυσης - κάλυψης'!E62/'Παραδοχές διείσδυσης - κάλυψης'!E84,0)</f>
        <v>0</v>
      </c>
      <c r="F109" s="191">
        <f t="shared" si="129"/>
        <v>0</v>
      </c>
      <c r="G109" s="236">
        <f>IFERROR('Παραδοχές διείσδυσης - κάλυψης'!F62/'Παραδοχές διείσδυσης - κάλυψης'!F84,0)</f>
        <v>0</v>
      </c>
      <c r="H109" s="191">
        <f t="shared" si="130"/>
        <v>0</v>
      </c>
      <c r="I109" s="236">
        <f>IFERROR('Παραδοχές διείσδυσης - κάλυψης'!G62/'Παραδοχές διείσδυσης - κάλυψης'!G84,0)</f>
        <v>0</v>
      </c>
      <c r="J109" s="191">
        <f t="shared" si="131"/>
        <v>0</v>
      </c>
      <c r="K109" s="236">
        <f>IFERROR('Παραδοχές διείσδυσης - κάλυψης'!I62/'Παραδοχές διείσδυσης - κάλυψης'!I84,0)</f>
        <v>0</v>
      </c>
      <c r="L109" s="191">
        <f t="shared" si="132"/>
        <v>0</v>
      </c>
      <c r="M109" s="237">
        <f t="shared" si="128"/>
        <v>0</v>
      </c>
      <c r="O109" s="236">
        <f>IFERROR('Παραδοχές διείσδυσης - κάλυψης'!J62/'Παραδοχές διείσδυσης - κάλυψης'!J84,0)</f>
        <v>0.70175438596491224</v>
      </c>
      <c r="P109" s="191">
        <f t="shared" si="133"/>
        <v>0</v>
      </c>
      <c r="Q109" s="236">
        <f>IFERROR('Παραδοχές διείσδυσης - κάλυψης'!K62/'Παραδοχές διείσδυσης - κάλυψης'!K84,0)</f>
        <v>0.740043900909376</v>
      </c>
      <c r="R109" s="191">
        <f t="shared" si="134"/>
        <v>5.4562558795860853E-2</v>
      </c>
      <c r="S109" s="236">
        <f>IFERROR('Παραδοχές διείσδυσης - κάλυψης'!L62/'Παραδοχές διείσδυσης - κάλυψης'!L84,0)</f>
        <v>0.740043900909376</v>
      </c>
      <c r="T109" s="191">
        <f t="shared" si="135"/>
        <v>0</v>
      </c>
      <c r="U109" s="236">
        <f>IFERROR('Παραδοχές διείσδυσης - κάλυψης'!M62/'Παραδοχές διείσδυσης - κάλυψης'!M84,0)</f>
        <v>0.740043900909376</v>
      </c>
      <c r="V109" s="191">
        <f t="shared" si="136"/>
        <v>0</v>
      </c>
      <c r="W109" s="236">
        <f>IFERROR('Παραδοχές διείσδυσης - κάλυψης'!N62/'Παραδοχές διείσδυσης - κάλυψης'!N84,0)</f>
        <v>0.740043900909376</v>
      </c>
      <c r="X109" s="191">
        <f t="shared" si="137"/>
        <v>0</v>
      </c>
      <c r="Y109" s="237">
        <f t="shared" si="138"/>
        <v>1.3370102225364722E-2</v>
      </c>
    </row>
    <row r="110" spans="2:33" ht="15" customHeight="1" outlineLevel="1" x14ac:dyDescent="0.25">
      <c r="B110" s="52" t="s">
        <v>286</v>
      </c>
      <c r="C110" s="138" t="s">
        <v>55</v>
      </c>
      <c r="D110" s="235">
        <f>IFERROR('Παραδοχές διείσδυσης - κάλυψης'!D63/'Παραδοχές διείσδυσης - κάλυψης'!D85,0)</f>
        <v>0</v>
      </c>
      <c r="E110" s="236">
        <f>IFERROR('Παραδοχές διείσδυσης - κάλυψης'!E63/'Παραδοχές διείσδυσης - κάλυψης'!E85,0)</f>
        <v>0</v>
      </c>
      <c r="F110" s="191">
        <f t="shared" si="129"/>
        <v>0</v>
      </c>
      <c r="G110" s="236">
        <f>IFERROR('Παραδοχές διείσδυσης - κάλυψης'!F63/'Παραδοχές διείσδυσης - κάλυψης'!F85,0)</f>
        <v>0</v>
      </c>
      <c r="H110" s="191">
        <f t="shared" si="130"/>
        <v>0</v>
      </c>
      <c r="I110" s="236">
        <f>IFERROR('Παραδοχές διείσδυσης - κάλυψης'!G63/'Παραδοχές διείσδυσης - κάλυψης'!G85,0)</f>
        <v>0</v>
      </c>
      <c r="J110" s="191">
        <f t="shared" si="131"/>
        <v>0</v>
      </c>
      <c r="K110" s="236">
        <f>IFERROR('Παραδοχές διείσδυσης - κάλυψης'!I63/'Παραδοχές διείσδυσης - κάλυψης'!I85,0)</f>
        <v>0</v>
      </c>
      <c r="L110" s="191">
        <f t="shared" si="132"/>
        <v>0</v>
      </c>
      <c r="M110" s="237">
        <f t="shared" si="128"/>
        <v>0</v>
      </c>
      <c r="N110" s="55"/>
      <c r="O110" s="236">
        <f>IFERROR('Παραδοχές διείσδυσης - κάλυψης'!J63/'Παραδοχές διείσδυσης - κάλυψης'!J85,0)</f>
        <v>0.70175438596491224</v>
      </c>
      <c r="P110" s="191">
        <f t="shared" si="133"/>
        <v>0</v>
      </c>
      <c r="Q110" s="236">
        <f>IFERROR('Παραδοχές διείσδυσης - κάλυψης'!K63/'Παραδοχές διείσδυσης - κάλυψης'!K85,0)</f>
        <v>0.73443605802687217</v>
      </c>
      <c r="R110" s="191">
        <f t="shared" si="134"/>
        <v>4.6571382688292903E-2</v>
      </c>
      <c r="S110" s="236">
        <f>IFERROR('Παραδοχές διείσδυσης - κάλυψης'!L63/'Παραδοχές διείσδυσης - κάλυψης'!L85,0)</f>
        <v>0.73443605802687217</v>
      </c>
      <c r="T110" s="191">
        <f t="shared" si="135"/>
        <v>0</v>
      </c>
      <c r="U110" s="236">
        <f>IFERROR('Παραδοχές διείσδυσης - κάλυψης'!M63/'Παραδοχές διείσδυσης - κάλυψης'!M85,0)</f>
        <v>0.73443605802687217</v>
      </c>
      <c r="V110" s="191">
        <f t="shared" si="136"/>
        <v>0</v>
      </c>
      <c r="W110" s="236">
        <f>IFERROR('Παραδοχές διείσδυσης - κάλυψης'!N63/'Παραδοχές διείσδυσης - κάλυψης'!N85,0)</f>
        <v>0.73443605802687217</v>
      </c>
      <c r="X110" s="191">
        <f t="shared" si="137"/>
        <v>0</v>
      </c>
      <c r="Y110" s="237">
        <f t="shared" si="138"/>
        <v>1.1444864879786021E-2</v>
      </c>
    </row>
    <row r="111" spans="2:33" outlineLevel="1" x14ac:dyDescent="0.25">
      <c r="B111" s="52" t="s">
        <v>287</v>
      </c>
      <c r="C111" s="64" t="s">
        <v>55</v>
      </c>
      <c r="D111" s="235">
        <f>IFERROR('Παραδοχές διείσδυσης - κάλυψης'!D64/'Παραδοχές διείσδυσης - κάλυψης'!D86,0)</f>
        <v>0</v>
      </c>
      <c r="E111" s="236">
        <f>IFERROR('Παραδοχές διείσδυσης - κάλυψης'!E64/'Παραδοχές διείσδυσης - κάλυψης'!E86,0)</f>
        <v>0</v>
      </c>
      <c r="F111" s="191">
        <f>IFERROR((E111-D111)/D111,0)</f>
        <v>0</v>
      </c>
      <c r="G111" s="236">
        <f>IFERROR('Παραδοχές διείσδυσης - κάλυψης'!F64/'Παραδοχές διείσδυσης - κάλυψης'!F86,0)</f>
        <v>0</v>
      </c>
      <c r="H111" s="191">
        <f>IFERROR((G111-E111)/E111,0)</f>
        <v>0</v>
      </c>
      <c r="I111" s="236">
        <f>IFERROR('Παραδοχές διείσδυσης - κάλυψης'!G64/'Παραδοχές διείσδυσης - κάλυψης'!G86,0)</f>
        <v>0</v>
      </c>
      <c r="J111" s="191">
        <f>IFERROR((I111-G111)/G111,0)</f>
        <v>0</v>
      </c>
      <c r="K111" s="236">
        <f>IFERROR('Παραδοχές διείσδυσης - κάλυψης'!I64/'Παραδοχές διείσδυσης - κάλυψης'!I86,0)</f>
        <v>0</v>
      </c>
      <c r="L111" s="191">
        <f>IFERROR((K111-I111)/I111,0)</f>
        <v>0</v>
      </c>
      <c r="M111" s="237">
        <f t="shared" ref="M111:M114" si="139">IFERROR((K111/D111)^(1/4)-1,0)</f>
        <v>0</v>
      </c>
      <c r="O111" s="236">
        <f>IFERROR('Παραδοχές διείσδυσης - κάλυψης'!J64/'Παραδοχές διείσδυσης - κάλυψης'!J86,0)</f>
        <v>0.70175438596491224</v>
      </c>
      <c r="P111" s="191">
        <f>IFERROR((O111-K111)/K111,0)</f>
        <v>0</v>
      </c>
      <c r="Q111" s="236">
        <f>IFERROR('Παραδοχές διείσδυσης - κάλυψης'!K64/'Παραδοχές διείσδυσης - κάλυψης'!K86,0)</f>
        <v>0.7302610076107765</v>
      </c>
      <c r="R111" s="191">
        <f>IFERROR((Q111-O111)/O111,0)</f>
        <v>4.0621935845356574E-2</v>
      </c>
      <c r="S111" s="236">
        <f>IFERROR('Παραδοχές διείσδυσης - κάλυψης'!L64/'Παραδοχές διείσδυσης - κάλυψης'!L86,0)</f>
        <v>0.7302610076107765</v>
      </c>
      <c r="T111" s="191">
        <f>IFERROR((S111-Q111)/Q111,0)</f>
        <v>0</v>
      </c>
      <c r="U111" s="236">
        <f>IFERROR('Παραδοχές διείσδυσης - κάλυψης'!M64/'Παραδοχές διείσδυσης - κάλυψης'!M86,0)</f>
        <v>0.7302610076107765</v>
      </c>
      <c r="V111" s="191">
        <f>IFERROR((U111-S111)/S111,0)</f>
        <v>0</v>
      </c>
      <c r="W111" s="236">
        <f>IFERROR('Παραδοχές διείσδυσης - κάλυψης'!N64/'Παραδοχές διείσδυσης - κάλυψης'!N86,0)</f>
        <v>0.7302610076107765</v>
      </c>
      <c r="X111" s="191">
        <f>IFERROR((W111-U111)/U111,0)</f>
        <v>0</v>
      </c>
      <c r="Y111" s="237">
        <f>IFERROR((W111/O111)^(1/4)-1,0)</f>
        <v>1.0004349634125997E-2</v>
      </c>
    </row>
    <row r="112" spans="2:33" outlineLevel="1" x14ac:dyDescent="0.25">
      <c r="B112" s="52" t="s">
        <v>288</v>
      </c>
      <c r="C112" s="64" t="s">
        <v>55</v>
      </c>
      <c r="D112" s="235">
        <f>IFERROR('Παραδοχές διείσδυσης - κάλυψης'!D65/'Παραδοχές διείσδυσης - κάλυψης'!D87,0)</f>
        <v>0</v>
      </c>
      <c r="E112" s="236">
        <f>IFERROR('Παραδοχές διείσδυσης - κάλυψης'!E65/'Παραδοχές διείσδυσης - κάλυψης'!E87,0)</f>
        <v>0</v>
      </c>
      <c r="F112" s="191">
        <f t="shared" ref="F112:F114" si="140">IFERROR((E112-D112)/D112,0)</f>
        <v>0</v>
      </c>
      <c r="G112" s="236">
        <f>IFERROR('Παραδοχές διείσδυσης - κάλυψης'!F65/'Παραδοχές διείσδυσης - κάλυψης'!F87,0)</f>
        <v>0</v>
      </c>
      <c r="H112" s="191">
        <f t="shared" ref="H112:H114" si="141">IFERROR((G112-E112)/E112,0)</f>
        <v>0</v>
      </c>
      <c r="I112" s="236">
        <f>IFERROR('Παραδοχές διείσδυσης - κάλυψης'!G65/'Παραδοχές διείσδυσης - κάλυψης'!G87,0)</f>
        <v>0</v>
      </c>
      <c r="J112" s="191">
        <f t="shared" ref="J112:J114" si="142">IFERROR((I112-G112)/G112,0)</f>
        <v>0</v>
      </c>
      <c r="K112" s="236">
        <f>IFERROR('Παραδοχές διείσδυσης - κάλυψης'!I65/'Παραδοχές διείσδυσης - κάλυψης'!I87,0)</f>
        <v>0</v>
      </c>
      <c r="L112" s="191">
        <f t="shared" ref="L112:L114" si="143">IFERROR((K112-I112)/I112,0)</f>
        <v>0</v>
      </c>
      <c r="M112" s="237">
        <f t="shared" si="139"/>
        <v>0</v>
      </c>
      <c r="N112" s="55"/>
      <c r="O112" s="236">
        <f>IFERROR('Παραδοχές διείσδυσης - κάλυψης'!J65/'Παραδοχές διείσδυσης - κάλυψης'!J87,0)</f>
        <v>0.70175438596491246</v>
      </c>
      <c r="P112" s="191">
        <f t="shared" ref="P112:P114" si="144">IFERROR((O112-K112)/K112,0)</f>
        <v>0</v>
      </c>
      <c r="Q112" s="236">
        <f>IFERROR('Παραδοχές διείσδυσης - κάλυψης'!K65/'Παραδοχές διείσδυσης - κάλυψης'!K87,0)</f>
        <v>0.7260451308953122</v>
      </c>
      <c r="R112" s="191">
        <f t="shared" ref="R112:R114" si="145">IFERROR((Q112-O112)/O112,0)</f>
        <v>3.4614311525819612E-2</v>
      </c>
      <c r="S112" s="236">
        <f>IFERROR('Παραδοχές διείσδυσης - κάλυψης'!L65/'Παραδοχές διείσδυσης - κάλυψης'!L87,0)</f>
        <v>0.7260451308953122</v>
      </c>
      <c r="T112" s="191">
        <f t="shared" ref="T112:T114" si="146">IFERROR((S112-Q112)/Q112,0)</f>
        <v>0</v>
      </c>
      <c r="U112" s="236">
        <f>IFERROR('Παραδοχές διείσδυσης - κάλυψης'!M65/'Παραδοχές διείσδυσης - κάλυψης'!M87,0)</f>
        <v>0.7260451308953122</v>
      </c>
      <c r="V112" s="191">
        <f t="shared" ref="V112:V114" si="147">IFERROR((U112-S112)/S112,0)</f>
        <v>0</v>
      </c>
      <c r="W112" s="236">
        <f>IFERROR('Παραδοχές διείσδυσης - κάλυψης'!N65/'Παραδοχές διείσδυσης - κάλυψης'!N87,0)</f>
        <v>0.7260451308953122</v>
      </c>
      <c r="X112" s="191">
        <f t="shared" ref="X112:X114" si="148">IFERROR((W112-U112)/U112,0)</f>
        <v>0</v>
      </c>
      <c r="Y112" s="237">
        <f t="shared" ref="Y112:Y114" si="149">IFERROR((W112/O112)^(1/4)-1,0)</f>
        <v>8.5434667194872471E-3</v>
      </c>
    </row>
    <row r="113" spans="2:33" outlineLevel="1" x14ac:dyDescent="0.25">
      <c r="B113" s="52" t="s">
        <v>289</v>
      </c>
      <c r="C113" s="64" t="s">
        <v>55</v>
      </c>
      <c r="D113" s="235">
        <f>IFERROR('Παραδοχές διείσδυσης - κάλυψης'!D66/'Παραδοχές διείσδυσης - κάλυψης'!D88,0)</f>
        <v>0</v>
      </c>
      <c r="E113" s="236">
        <f>IFERROR('Παραδοχές διείσδυσης - κάλυψης'!E66/'Παραδοχές διείσδυσης - κάλυψης'!E88,0)</f>
        <v>0</v>
      </c>
      <c r="F113" s="191">
        <f t="shared" si="140"/>
        <v>0</v>
      </c>
      <c r="G113" s="236">
        <f>IFERROR('Παραδοχές διείσδυσης - κάλυψης'!F66/'Παραδοχές διείσδυσης - κάλυψης'!F88,0)</f>
        <v>0</v>
      </c>
      <c r="H113" s="191">
        <f t="shared" si="141"/>
        <v>0</v>
      </c>
      <c r="I113" s="236">
        <f>IFERROR('Παραδοχές διείσδυσης - κάλυψης'!G66/'Παραδοχές διείσδυσης - κάλυψης'!G88,0)</f>
        <v>0</v>
      </c>
      <c r="J113" s="191">
        <f t="shared" si="142"/>
        <v>0</v>
      </c>
      <c r="K113" s="236">
        <f>IFERROR('Παραδοχές διείσδυσης - κάλυψης'!I66/'Παραδοχές διείσδυσης - κάλυψης'!I88,0)</f>
        <v>0</v>
      </c>
      <c r="L113" s="191">
        <f t="shared" si="143"/>
        <v>0</v>
      </c>
      <c r="M113" s="237">
        <f t="shared" si="139"/>
        <v>0</v>
      </c>
      <c r="O113" s="236">
        <f>IFERROR('Παραδοχές διείσδυσης - κάλυψης'!J66/'Παραδοχές διείσδυσης - κάλυψης'!J88,0)</f>
        <v>0.70175438596491224</v>
      </c>
      <c r="P113" s="191">
        <f t="shared" si="144"/>
        <v>0</v>
      </c>
      <c r="Q113" s="236">
        <f>IFERROR('Παραδοχές διείσδυσης - κάλυψης'!K66/'Παραδοχές διείσδυσης - κάλυψης'!K88,0)</f>
        <v>0.73322611241700697</v>
      </c>
      <c r="R113" s="191">
        <f t="shared" si="145"/>
        <v>4.4847210194234988E-2</v>
      </c>
      <c r="S113" s="236">
        <f>IFERROR('Παραδοχές διείσδυσης - κάλυψης'!L66/'Παραδοχές διείσδυσης - κάλυψης'!L88,0)</f>
        <v>0.73322611241700697</v>
      </c>
      <c r="T113" s="191">
        <f t="shared" si="146"/>
        <v>0</v>
      </c>
      <c r="U113" s="236">
        <f>IFERROR('Παραδοχές διείσδυσης - κάλυψης'!M66/'Παραδοχές διείσδυσης - κάλυψης'!M88,0)</f>
        <v>0.73322611241700697</v>
      </c>
      <c r="V113" s="191">
        <f t="shared" si="147"/>
        <v>0</v>
      </c>
      <c r="W113" s="236">
        <f>IFERROR('Παραδοχές διείσδυσης - κάλυψης'!N66/'Παραδοχές διείσδυσης - κάλυψης'!N88,0)</f>
        <v>0.73322611241700697</v>
      </c>
      <c r="X113" s="191">
        <f t="shared" si="148"/>
        <v>0</v>
      </c>
      <c r="Y113" s="237">
        <f t="shared" si="149"/>
        <v>1.1028031433544694E-2</v>
      </c>
    </row>
    <row r="114" spans="2:33" ht="15" customHeight="1" outlineLevel="1" x14ac:dyDescent="0.25">
      <c r="B114" s="52" t="s">
        <v>290</v>
      </c>
      <c r="C114" s="138" t="s">
        <v>55</v>
      </c>
      <c r="D114" s="235">
        <f>IFERROR('Παραδοχές διείσδυσης - κάλυψης'!D67/'Παραδοχές διείσδυσης - κάλυψης'!D89,0)</f>
        <v>0</v>
      </c>
      <c r="E114" s="236">
        <f>IFERROR('Παραδοχές διείσδυσης - κάλυψης'!E67/'Παραδοχές διείσδυσης - κάλυψης'!E89,0)</f>
        <v>0</v>
      </c>
      <c r="F114" s="191">
        <f t="shared" si="140"/>
        <v>0</v>
      </c>
      <c r="G114" s="236">
        <f>IFERROR('Παραδοχές διείσδυσης - κάλυψης'!F67/'Παραδοχές διείσδυσης - κάλυψης'!F89,0)</f>
        <v>0</v>
      </c>
      <c r="H114" s="191">
        <f t="shared" si="141"/>
        <v>0</v>
      </c>
      <c r="I114" s="236">
        <f>IFERROR('Παραδοχές διείσδυσης - κάλυψης'!G67/'Παραδοχές διείσδυσης - κάλυψης'!G89,0)</f>
        <v>0</v>
      </c>
      <c r="J114" s="191">
        <f t="shared" si="142"/>
        <v>0</v>
      </c>
      <c r="K114" s="236">
        <f>IFERROR('Παραδοχές διείσδυσης - κάλυψης'!I67/'Παραδοχές διείσδυσης - κάλυψης'!I89,0)</f>
        <v>0</v>
      </c>
      <c r="L114" s="191">
        <f t="shared" si="143"/>
        <v>0</v>
      </c>
      <c r="M114" s="237">
        <f t="shared" si="139"/>
        <v>0</v>
      </c>
      <c r="N114" s="55"/>
      <c r="O114" s="236">
        <f>IFERROR('Παραδοχές διείσδυσης - κάλυψης'!J67/'Παραδοχές διείσδυσης - κάλυψης'!J89,0)</f>
        <v>0.70175438596491224</v>
      </c>
      <c r="P114" s="191">
        <f t="shared" si="144"/>
        <v>0</v>
      </c>
      <c r="Q114" s="236">
        <f>IFERROR('Παραδοχές διείσδυσης - κάλυψης'!K67/'Παραδοχές διείσδυσης - κάλυψης'!K89,0)</f>
        <v>0.73567816858365287</v>
      </c>
      <c r="R114" s="191">
        <f t="shared" si="145"/>
        <v>4.8341390231705396E-2</v>
      </c>
      <c r="S114" s="236">
        <f>IFERROR('Παραδοχές διείσδυσης - κάλυψης'!L67/'Παραδοχές διείσδυσης - κάλυψης'!L89,0)</f>
        <v>0.73567816858365287</v>
      </c>
      <c r="T114" s="191">
        <f t="shared" si="146"/>
        <v>0</v>
      </c>
      <c r="U114" s="236">
        <f>IFERROR('Παραδοχές διείσδυσης - κάλυψης'!M67/'Παραδοχές διείσδυσης - κάλυψης'!M89,0)</f>
        <v>0.73567816858365287</v>
      </c>
      <c r="V114" s="191">
        <f t="shared" si="147"/>
        <v>0</v>
      </c>
      <c r="W114" s="236">
        <f>IFERROR('Παραδοχές διείσδυσης - κάλυψης'!N67/'Παραδοχές διείσδυσης - κάλυψης'!N89,0)</f>
        <v>0.73567816858365287</v>
      </c>
      <c r="X114" s="191">
        <f t="shared" si="148"/>
        <v>0</v>
      </c>
      <c r="Y114" s="237">
        <f t="shared" si="149"/>
        <v>1.1872243932333326E-2</v>
      </c>
    </row>
    <row r="115" spans="2:33" ht="15" customHeight="1" outlineLevel="1" x14ac:dyDescent="0.25">
      <c r="B115" s="52" t="s">
        <v>291</v>
      </c>
      <c r="C115" s="138" t="s">
        <v>55</v>
      </c>
      <c r="D115" s="235">
        <f>IFERROR('Παραδοχές διείσδυσης - κάλυψης'!D68/'Παραδοχές διείσδυσης - κάλυψης'!D90,0)</f>
        <v>0</v>
      </c>
      <c r="E115" s="236">
        <f>IFERROR('Παραδοχές διείσδυσης - κάλυψης'!E68/'Παραδοχές διείσδυσης - κάλυψης'!E90,0)</f>
        <v>0</v>
      </c>
      <c r="F115" s="191">
        <f t="shared" ref="F115:F121" si="150">IFERROR((E115-D115)/D115,0)</f>
        <v>0</v>
      </c>
      <c r="G115" s="236">
        <f>IFERROR('Παραδοχές διείσδυσης - κάλυψης'!F68/'Παραδοχές διείσδυσης - κάλυψης'!F90,0)</f>
        <v>0</v>
      </c>
      <c r="H115" s="191">
        <f t="shared" ref="H115:H121" si="151">IFERROR((G115-E115)/E115,0)</f>
        <v>0</v>
      </c>
      <c r="I115" s="236">
        <f>IFERROR('Παραδοχές διείσδυσης - κάλυψης'!G68/'Παραδοχές διείσδυσης - κάλυψης'!G90,0)</f>
        <v>0</v>
      </c>
      <c r="J115" s="191">
        <f t="shared" ref="J115:J121" si="152">IFERROR((I115-G115)/G115,0)</f>
        <v>0</v>
      </c>
      <c r="K115" s="236">
        <f>IFERROR('Παραδοχές διείσδυσης - κάλυψης'!I68/'Παραδοχές διείσδυσης - κάλυψης'!I90,0)</f>
        <v>0</v>
      </c>
      <c r="L115" s="191">
        <f t="shared" ref="L115:L121" si="153">IFERROR((K115-I115)/I115,0)</f>
        <v>0</v>
      </c>
      <c r="M115" s="237">
        <f t="shared" ref="M115:M121" si="154">IFERROR((K115/D115)^(1/4)-1,0)</f>
        <v>0</v>
      </c>
      <c r="N115" s="55"/>
      <c r="O115" s="236">
        <f>IFERROR('Παραδοχές διείσδυσης - κάλυψης'!J68/'Παραδοχές διείσδυσης - κάλυψης'!J90,0)</f>
        <v>0.70175438596491224</v>
      </c>
      <c r="P115" s="191">
        <f t="shared" ref="P115" si="155">IFERROR((O115-K115)/K115,0)</f>
        <v>0</v>
      </c>
      <c r="Q115" s="236">
        <f>IFERROR('Παραδοχές διείσδυσης - κάλυψης'!K68/'Παραδοχές διείσδυσης - κάλυψης'!K90,0)</f>
        <v>0.70175438596491224</v>
      </c>
      <c r="R115" s="191">
        <f t="shared" ref="R115" si="156">IFERROR((Q115-O115)/O115,0)</f>
        <v>0</v>
      </c>
      <c r="S115" s="236">
        <f>IFERROR('Παραδοχές διείσδυσης - κάλυψης'!L68/'Παραδοχές διείσδυσης - κάλυψης'!L90,0)</f>
        <v>0.70175438596491224</v>
      </c>
      <c r="T115" s="191">
        <f t="shared" ref="T115" si="157">IFERROR((S115-Q115)/Q115,0)</f>
        <v>0</v>
      </c>
      <c r="U115" s="236">
        <f>IFERROR('Παραδοχές διείσδυσης - κάλυψης'!M68/'Παραδοχές διείσδυσης - κάλυψης'!M90,0)</f>
        <v>0.70175438596491224</v>
      </c>
      <c r="V115" s="191">
        <f t="shared" ref="V115" si="158">IFERROR((U115-S115)/S115,0)</f>
        <v>0</v>
      </c>
      <c r="W115" s="236">
        <f>IFERROR('Παραδοχές διείσδυσης - κάλυψης'!N68/'Παραδοχές διείσδυσης - κάλυψης'!N90,0)</f>
        <v>0.70175438596491224</v>
      </c>
      <c r="X115" s="191">
        <f t="shared" ref="X115" si="159">IFERROR((W115-U115)/U115,0)</f>
        <v>0</v>
      </c>
      <c r="Y115" s="237">
        <f t="shared" ref="Y115" si="160">IFERROR((W115/O115)^(1/4)-1,0)</f>
        <v>0</v>
      </c>
    </row>
    <row r="116" spans="2:33" ht="15" customHeight="1" outlineLevel="1" x14ac:dyDescent="0.25">
      <c r="B116" s="52" t="s">
        <v>307</v>
      </c>
      <c r="C116" s="138" t="s">
        <v>55</v>
      </c>
      <c r="D116" s="235">
        <f>IFERROR('Παραδοχές διείσδυσης - κάλυψης'!D69/'Παραδοχές διείσδυσης - κάλυψης'!D91,0)</f>
        <v>0</v>
      </c>
      <c r="E116" s="236">
        <f>IFERROR('Παραδοχές διείσδυσης - κάλυψης'!E69/'Παραδοχές διείσδυσης - κάλυψης'!E91,0)</f>
        <v>0</v>
      </c>
      <c r="F116" s="191">
        <f t="shared" si="150"/>
        <v>0</v>
      </c>
      <c r="G116" s="236">
        <f>IFERROR('Παραδοχές διείσδυσης - κάλυψης'!F69/'Παραδοχές διείσδυσης - κάλυψης'!F91,0)</f>
        <v>0</v>
      </c>
      <c r="H116" s="191">
        <f t="shared" si="151"/>
        <v>0</v>
      </c>
      <c r="I116" s="236">
        <f>IFERROR('Παραδοχές διείσδυσης - κάλυψης'!G69/'Παραδοχές διείσδυσης - κάλυψης'!G91,0)</f>
        <v>0</v>
      </c>
      <c r="J116" s="191">
        <f t="shared" si="152"/>
        <v>0</v>
      </c>
      <c r="K116" s="236">
        <f>IFERROR('Παραδοχές διείσδυσης - κάλυψης'!I69/'Παραδοχές διείσδυσης - κάλυψης'!I91,0)</f>
        <v>0</v>
      </c>
      <c r="L116" s="191">
        <f t="shared" si="153"/>
        <v>0</v>
      </c>
      <c r="M116" s="237">
        <f t="shared" si="154"/>
        <v>0</v>
      </c>
      <c r="N116" s="55"/>
      <c r="O116" s="236">
        <f>IFERROR('Παραδοχές διείσδυσης - κάλυψης'!J69/'Παραδοχές διείσδυσης - κάλυψης'!J91,0)</f>
        <v>0.7142857142857143</v>
      </c>
      <c r="P116" s="191"/>
      <c r="Q116" s="236">
        <f>IFERROR('Παραδοχές διείσδυσης - κάλυψης'!K69/'Παραδοχές διείσδυσης - κάλυψης'!K91,0)</f>
        <v>0.7142857142857143</v>
      </c>
      <c r="R116" s="191"/>
      <c r="S116" s="236">
        <f>IFERROR('Παραδοχές διείσδυσης - κάλυψης'!L69/'Παραδοχές διείσδυσης - κάλυψης'!L91,0)</f>
        <v>0.7142857142857143</v>
      </c>
      <c r="T116" s="191"/>
      <c r="U116" s="236">
        <f>IFERROR('Παραδοχές διείσδυσης - κάλυψης'!M69/'Παραδοχές διείσδυσης - κάλυψης'!M91,0)</f>
        <v>0.7142857142857143</v>
      </c>
      <c r="V116" s="191"/>
      <c r="W116" s="236">
        <f>IFERROR('Παραδοχές διείσδυσης - κάλυψης'!N69/'Παραδοχές διείσδυσης - κάλυψης'!N91,0)</f>
        <v>0.7142857142857143</v>
      </c>
      <c r="X116" s="191"/>
      <c r="Y116" s="237"/>
    </row>
    <row r="117" spans="2:33" ht="15" customHeight="1" outlineLevel="1" x14ac:dyDescent="0.25">
      <c r="B117" s="52" t="s">
        <v>304</v>
      </c>
      <c r="C117" s="138" t="s">
        <v>55</v>
      </c>
      <c r="D117" s="235">
        <f>IFERROR('Παραδοχές διείσδυσης - κάλυψης'!D70/'Παραδοχές διείσδυσης - κάλυψης'!D92,0)</f>
        <v>0</v>
      </c>
      <c r="E117" s="236">
        <f>IFERROR('Παραδοχές διείσδυσης - κάλυψης'!E70/'Παραδοχές διείσδυσης - κάλυψης'!E92,0)</f>
        <v>0</v>
      </c>
      <c r="F117" s="191">
        <f t="shared" si="150"/>
        <v>0</v>
      </c>
      <c r="G117" s="236">
        <f>IFERROR('Παραδοχές διείσδυσης - κάλυψης'!F70/'Παραδοχές διείσδυσης - κάλυψης'!F92,0)</f>
        <v>0</v>
      </c>
      <c r="H117" s="191">
        <f t="shared" si="151"/>
        <v>0</v>
      </c>
      <c r="I117" s="236">
        <f>IFERROR('Παραδοχές διείσδυσης - κάλυψης'!G70/'Παραδοχές διείσδυσης - κάλυψης'!G92,0)</f>
        <v>0</v>
      </c>
      <c r="J117" s="191">
        <f t="shared" si="152"/>
        <v>0</v>
      </c>
      <c r="K117" s="236">
        <f>IFERROR('Παραδοχές διείσδυσης - κάλυψης'!I70/'Παραδοχές διείσδυσης - κάλυψης'!I92,0)</f>
        <v>0</v>
      </c>
      <c r="L117" s="191">
        <f t="shared" si="153"/>
        <v>0</v>
      </c>
      <c r="M117" s="237">
        <f t="shared" si="154"/>
        <v>0</v>
      </c>
      <c r="N117" s="55"/>
      <c r="O117" s="236">
        <f>IFERROR('Παραδοχές διείσδυσης - κάλυψης'!J70/'Παραδοχές διείσδυσης - κάλυψης'!J92,0)</f>
        <v>0.7142857142857143</v>
      </c>
      <c r="P117" s="191"/>
      <c r="Q117" s="236">
        <f>IFERROR('Παραδοχές διείσδυσης - κάλυψης'!K70/'Παραδοχές διείσδυσης - κάλυψης'!K92,0)</f>
        <v>0.7142857142857143</v>
      </c>
      <c r="R117" s="191"/>
      <c r="S117" s="236">
        <f>IFERROR('Παραδοχές διείσδυσης - κάλυψης'!L70/'Παραδοχές διείσδυσης - κάλυψης'!L92,0)</f>
        <v>0.7142857142857143</v>
      </c>
      <c r="T117" s="191"/>
      <c r="U117" s="236">
        <f>IFERROR('Παραδοχές διείσδυσης - κάλυψης'!M70/'Παραδοχές διείσδυσης - κάλυψης'!M92,0)</f>
        <v>0.7142857142857143</v>
      </c>
      <c r="V117" s="191"/>
      <c r="W117" s="236">
        <f>IFERROR('Παραδοχές διείσδυσης - κάλυψης'!N70/'Παραδοχές διείσδυσης - κάλυψης'!N92,0)</f>
        <v>0.7142857142857143</v>
      </c>
      <c r="X117" s="191"/>
      <c r="Y117" s="237"/>
    </row>
    <row r="118" spans="2:33" ht="15" customHeight="1" outlineLevel="1" x14ac:dyDescent="0.25">
      <c r="B118" s="52" t="s">
        <v>305</v>
      </c>
      <c r="C118" s="138" t="s">
        <v>55</v>
      </c>
      <c r="D118" s="235">
        <f>IFERROR('Παραδοχές διείσδυσης - κάλυψης'!D71/'Παραδοχές διείσδυσης - κάλυψης'!D93,0)</f>
        <v>0</v>
      </c>
      <c r="E118" s="236">
        <f>IFERROR('Παραδοχές διείσδυσης - κάλυψης'!E71/'Παραδοχές διείσδυσης - κάλυψης'!E93,0)</f>
        <v>0</v>
      </c>
      <c r="F118" s="191">
        <f t="shared" si="150"/>
        <v>0</v>
      </c>
      <c r="G118" s="236">
        <f>IFERROR('Παραδοχές διείσδυσης - κάλυψης'!F71/'Παραδοχές διείσδυσης - κάλυψης'!F93,0)</f>
        <v>0</v>
      </c>
      <c r="H118" s="191">
        <f t="shared" si="151"/>
        <v>0</v>
      </c>
      <c r="I118" s="236">
        <f>IFERROR('Παραδοχές διείσδυσης - κάλυψης'!G71/'Παραδοχές διείσδυσης - κάλυψης'!G93,0)</f>
        <v>0</v>
      </c>
      <c r="J118" s="191">
        <f t="shared" si="152"/>
        <v>0</v>
      </c>
      <c r="K118" s="236">
        <f>IFERROR('Παραδοχές διείσδυσης - κάλυψης'!I71/'Παραδοχές διείσδυσης - κάλυψης'!I93,0)</f>
        <v>0</v>
      </c>
      <c r="L118" s="191">
        <f t="shared" si="153"/>
        <v>0</v>
      </c>
      <c r="M118" s="237">
        <f t="shared" si="154"/>
        <v>0</v>
      </c>
      <c r="N118" s="55"/>
      <c r="O118" s="236">
        <f>IFERROR('Παραδοχές διείσδυσης - κάλυψης'!J71/'Παραδοχές διείσδυσης - κάλυψης'!J93,0)</f>
        <v>0.7142857142857143</v>
      </c>
      <c r="P118" s="191"/>
      <c r="Q118" s="236">
        <f>IFERROR('Παραδοχές διείσδυσης - κάλυψης'!K71/'Παραδοχές διείσδυσης - κάλυψης'!K93,0)</f>
        <v>0.7142857142857143</v>
      </c>
      <c r="R118" s="191"/>
      <c r="S118" s="236">
        <f>IFERROR('Παραδοχές διείσδυσης - κάλυψης'!L71/'Παραδοχές διείσδυσης - κάλυψης'!L93,0)</f>
        <v>0.7142857142857143</v>
      </c>
      <c r="T118" s="191"/>
      <c r="U118" s="236">
        <f>IFERROR('Παραδοχές διείσδυσης - κάλυψης'!M71/'Παραδοχές διείσδυσης - κάλυψης'!M93,0)</f>
        <v>0.7142857142857143</v>
      </c>
      <c r="V118" s="191"/>
      <c r="W118" s="236">
        <f>IFERROR('Παραδοχές διείσδυσης - κάλυψης'!N71/'Παραδοχές διείσδυσης - κάλυψης'!N93,0)</f>
        <v>0.7142857142857143</v>
      </c>
      <c r="X118" s="191"/>
      <c r="Y118" s="237"/>
    </row>
    <row r="119" spans="2:33" ht="15" customHeight="1" outlineLevel="1" x14ac:dyDescent="0.25">
      <c r="B119" s="52" t="s">
        <v>306</v>
      </c>
      <c r="C119" s="138" t="s">
        <v>55</v>
      </c>
      <c r="D119" s="235">
        <f>IFERROR('Παραδοχές διείσδυσης - κάλυψης'!D72/'Παραδοχές διείσδυσης - κάλυψης'!D94,0)</f>
        <v>0</v>
      </c>
      <c r="E119" s="236">
        <f>IFERROR('Παραδοχές διείσδυσης - κάλυψης'!E72/'Παραδοχές διείσδυσης - κάλυψης'!E94,0)</f>
        <v>0</v>
      </c>
      <c r="F119" s="191">
        <f t="shared" si="150"/>
        <v>0</v>
      </c>
      <c r="G119" s="236">
        <f>IFERROR('Παραδοχές διείσδυσης - κάλυψης'!F72/'Παραδοχές διείσδυσης - κάλυψης'!F94,0)</f>
        <v>0</v>
      </c>
      <c r="H119" s="191">
        <f t="shared" si="151"/>
        <v>0</v>
      </c>
      <c r="I119" s="236">
        <f>IFERROR('Παραδοχές διείσδυσης - κάλυψης'!G72/'Παραδοχές διείσδυσης - κάλυψης'!G94,0)</f>
        <v>0</v>
      </c>
      <c r="J119" s="191">
        <f t="shared" si="152"/>
        <v>0</v>
      </c>
      <c r="K119" s="236">
        <f>IFERROR('Παραδοχές διείσδυσης - κάλυψης'!I72/'Παραδοχές διείσδυσης - κάλυψης'!I94,0)</f>
        <v>0</v>
      </c>
      <c r="L119" s="191">
        <f t="shared" si="153"/>
        <v>0</v>
      </c>
      <c r="M119" s="237">
        <f t="shared" si="154"/>
        <v>0</v>
      </c>
      <c r="N119" s="55"/>
      <c r="O119" s="236">
        <f>IFERROR('Παραδοχές διείσδυσης - κάλυψης'!J72/'Παραδοχές διείσδυσης - κάλυψης'!J94,0)</f>
        <v>0.7142857142857143</v>
      </c>
      <c r="P119" s="191"/>
      <c r="Q119" s="236">
        <f>IFERROR('Παραδοχές διείσδυσης - κάλυψης'!K72/'Παραδοχές διείσδυσης - κάλυψης'!K94,0)</f>
        <v>0.7142857142857143</v>
      </c>
      <c r="R119" s="191"/>
      <c r="S119" s="236">
        <f>IFERROR('Παραδοχές διείσδυσης - κάλυψης'!L72/'Παραδοχές διείσδυσης - κάλυψης'!L94,0)</f>
        <v>0.7142857142857143</v>
      </c>
      <c r="T119" s="191"/>
      <c r="U119" s="236">
        <f>IFERROR('Παραδοχές διείσδυσης - κάλυψης'!M72/'Παραδοχές διείσδυσης - κάλυψης'!M94,0)</f>
        <v>0.7142857142857143</v>
      </c>
      <c r="V119" s="191"/>
      <c r="W119" s="236">
        <f>IFERROR('Παραδοχές διείσδυσης - κάλυψης'!N72/'Παραδοχές διείσδυσης - κάλυψης'!N94,0)</f>
        <v>0.7142857142857143</v>
      </c>
      <c r="X119" s="191"/>
      <c r="Y119" s="237"/>
    </row>
    <row r="120" spans="2:33" ht="15" customHeight="1" outlineLevel="1" x14ac:dyDescent="0.25">
      <c r="B120" s="52" t="s">
        <v>308</v>
      </c>
      <c r="C120" s="138" t="s">
        <v>55</v>
      </c>
      <c r="D120" s="235">
        <f>IFERROR('Παραδοχές διείσδυσης - κάλυψης'!D73/'Παραδοχές διείσδυσης - κάλυψης'!D95,0)</f>
        <v>0</v>
      </c>
      <c r="E120" s="236">
        <f>IFERROR('Παραδοχές διείσδυσης - κάλυψης'!E73/'Παραδοχές διείσδυσης - κάλυψης'!E95,0)</f>
        <v>0</v>
      </c>
      <c r="F120" s="191">
        <f t="shared" si="150"/>
        <v>0</v>
      </c>
      <c r="G120" s="236">
        <f>IFERROR('Παραδοχές διείσδυσης - κάλυψης'!F73/'Παραδοχές διείσδυσης - κάλυψης'!F95,0)</f>
        <v>0</v>
      </c>
      <c r="H120" s="191">
        <f t="shared" si="151"/>
        <v>0</v>
      </c>
      <c r="I120" s="236">
        <f>IFERROR('Παραδοχές διείσδυσης - κάλυψης'!G73/'Παραδοχές διείσδυσης - κάλυψης'!G95,0)</f>
        <v>0</v>
      </c>
      <c r="J120" s="191">
        <f t="shared" si="152"/>
        <v>0</v>
      </c>
      <c r="K120" s="236">
        <f>IFERROR('Παραδοχές διείσδυσης - κάλυψης'!I73/'Παραδοχές διείσδυσης - κάλυψης'!I95,0)</f>
        <v>0</v>
      </c>
      <c r="L120" s="191">
        <f t="shared" si="153"/>
        <v>0</v>
      </c>
      <c r="M120" s="237">
        <f t="shared" si="154"/>
        <v>0</v>
      </c>
      <c r="N120" s="55"/>
      <c r="O120" s="236">
        <f>IFERROR('Παραδοχές διείσδυσης - κάλυψης'!J73/'Παραδοχές διείσδυσης - κάλυψης'!J95,0)</f>
        <v>0.7142857142857143</v>
      </c>
      <c r="P120" s="191"/>
      <c r="Q120" s="236">
        <f>IFERROR('Παραδοχές διείσδυσης - κάλυψης'!K73/'Παραδοχές διείσδυσης - κάλυψης'!K95,0)</f>
        <v>0.7142857142857143</v>
      </c>
      <c r="R120" s="191"/>
      <c r="S120" s="236">
        <f>IFERROR('Παραδοχές διείσδυσης - κάλυψης'!L73/'Παραδοχές διείσδυσης - κάλυψης'!L95,0)</f>
        <v>0.7142857142857143</v>
      </c>
      <c r="T120" s="191"/>
      <c r="U120" s="236">
        <f>IFERROR('Παραδοχές διείσδυσης - κάλυψης'!M73/'Παραδοχές διείσδυσης - κάλυψης'!M95,0)</f>
        <v>0.7142857142857143</v>
      </c>
      <c r="V120" s="191"/>
      <c r="W120" s="236">
        <f>IFERROR('Παραδοχές διείσδυσης - κάλυψης'!N73/'Παραδοχές διείσδυσης - κάλυψης'!N95,0)</f>
        <v>0.7142857142857143</v>
      </c>
      <c r="X120" s="191"/>
      <c r="Y120" s="237"/>
    </row>
    <row r="121" spans="2:33" ht="15" customHeight="1" outlineLevel="1" x14ac:dyDescent="0.25">
      <c r="B121" s="52"/>
      <c r="C121" s="138"/>
      <c r="D121" s="235">
        <f>IFERROR('Παραδοχές διείσδυσης - κάλυψης'!D74/'Παραδοχές διείσδυσης - κάλυψης'!D96,0)</f>
        <v>0</v>
      </c>
      <c r="E121" s="236">
        <f>IFERROR('Παραδοχές διείσδυσης - κάλυψης'!E74/'Παραδοχές διείσδυσης - κάλυψης'!E96,0)</f>
        <v>0</v>
      </c>
      <c r="F121" s="191">
        <f t="shared" si="150"/>
        <v>0</v>
      </c>
      <c r="G121" s="236">
        <f>IFERROR('Παραδοχές διείσδυσης - κάλυψης'!F74/'Παραδοχές διείσδυσης - κάλυψης'!F96,0)</f>
        <v>0</v>
      </c>
      <c r="H121" s="191">
        <f t="shared" si="151"/>
        <v>0</v>
      </c>
      <c r="I121" s="236">
        <f>IFERROR('Παραδοχές διείσδυσης - κάλυψης'!G74/'Παραδοχές διείσδυσης - κάλυψης'!G96,0)</f>
        <v>0</v>
      </c>
      <c r="J121" s="191">
        <f t="shared" si="152"/>
        <v>0</v>
      </c>
      <c r="K121" s="236">
        <f>IFERROR('Παραδοχές διείσδυσης - κάλυψης'!I74/'Παραδοχές διείσδυσης - κάλυψης'!I96,0)</f>
        <v>0</v>
      </c>
      <c r="L121" s="191">
        <f t="shared" si="153"/>
        <v>0</v>
      </c>
      <c r="M121" s="237">
        <f t="shared" si="154"/>
        <v>0</v>
      </c>
      <c r="N121" s="55"/>
      <c r="O121" s="236">
        <f>IFERROR('Παραδοχές διείσδυσης - κάλυψης'!J74/'Παραδοχές διείσδυσης - κάλυψης'!J96,0)</f>
        <v>0</v>
      </c>
      <c r="P121" s="191"/>
      <c r="Q121" s="236">
        <f>IFERROR('Παραδοχές διείσδυσης - κάλυψης'!K74/'Παραδοχές διείσδυσης - κάλυψης'!K96,0)</f>
        <v>0</v>
      </c>
      <c r="R121" s="191"/>
      <c r="S121" s="236">
        <f>IFERROR('Παραδοχές διείσδυσης - κάλυψης'!L74/'Παραδοχές διείσδυσης - κάλυψης'!L96,0)</f>
        <v>0</v>
      </c>
      <c r="T121" s="191"/>
      <c r="U121" s="236">
        <f>IFERROR('Παραδοχές διείσδυσης - κάλυψης'!M74/'Παραδοχές διείσδυσης - κάλυψης'!M96,0)</f>
        <v>0</v>
      </c>
      <c r="V121" s="191"/>
      <c r="W121" s="236">
        <f>IFERROR('Παραδοχές διείσδυσης - κάλυψης'!N74/'Παραδοχές διείσδυσης - κάλυψης'!N96,0)</f>
        <v>0</v>
      </c>
      <c r="X121" s="191"/>
      <c r="Y121" s="237"/>
    </row>
    <row r="122" spans="2:33" ht="15" customHeight="1" outlineLevel="1" x14ac:dyDescent="0.25">
      <c r="B122" s="437" t="s">
        <v>90</v>
      </c>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9"/>
    </row>
    <row r="123" spans="2:33" ht="15" customHeight="1" outlineLevel="1" x14ac:dyDescent="0.25">
      <c r="B123" s="52" t="s">
        <v>82</v>
      </c>
      <c r="C123" s="49" t="s">
        <v>55</v>
      </c>
      <c r="D123" s="235">
        <f>IFERROR('Παραδοχές διείσδυσης - κάλυψης'!D76/'Παραδοχές διείσδυσης - κάλυψης'!D98,0)</f>
        <v>0</v>
      </c>
      <c r="E123" s="236">
        <f>IFERROR('Παραδοχές διείσδυσης - κάλυψης'!E76/'Παραδοχές διείσδυσης - κάλυψης'!E98,0)</f>
        <v>0</v>
      </c>
      <c r="F123" s="191">
        <f t="shared" si="129"/>
        <v>0</v>
      </c>
      <c r="G123" s="236">
        <f>IFERROR('Παραδοχές διείσδυσης - κάλυψης'!F76/'Παραδοχές διείσδυσης - κάλυψης'!F98,0)</f>
        <v>0</v>
      </c>
      <c r="H123" s="191">
        <f t="shared" si="130"/>
        <v>0</v>
      </c>
      <c r="I123" s="236">
        <f>IFERROR('Παραδοχές διείσδυσης - κάλυψης'!G76/'Παραδοχές διείσδυσης - κάλυψης'!G98,0)</f>
        <v>0</v>
      </c>
      <c r="J123" s="191">
        <f t="shared" si="131"/>
        <v>0</v>
      </c>
      <c r="K123" s="236">
        <f>IFERROR('Παραδοχές διείσδυσης - κάλυψης'!I76/'Παραδοχές διείσδυσης - κάλυψης'!I98,0)</f>
        <v>0</v>
      </c>
      <c r="L123" s="191">
        <f t="shared" si="132"/>
        <v>0</v>
      </c>
      <c r="M123" s="237">
        <f>IFERROR((K123/D123)^(1/4)-1,0)</f>
        <v>0</v>
      </c>
      <c r="O123" s="236">
        <f>IFERROR('Παραδοχές διείσδυσης - κάλυψης'!J76/'Παραδοχές διείσδυσης - κάλυψης'!J98,0)</f>
        <v>0.7049185677904114</v>
      </c>
      <c r="P123" s="191">
        <f t="shared" si="133"/>
        <v>0</v>
      </c>
      <c r="Q123" s="236">
        <f>IFERROR('Παραδοχές διείσδυσης - κάλυψης'!K76/'Παραδοχές διείσδυσης - κάλυψης'!K98,0)</f>
        <v>0.72964607883766563</v>
      </c>
      <c r="R123" s="191">
        <f t="shared" si="134"/>
        <v>3.5078535560161744E-2</v>
      </c>
      <c r="S123" s="236">
        <f>IFERROR('Παραδοχές διείσδυσης - κάλυψης'!L76/'Παραδοχές διείσδυσης - κάλυψης'!L98,0)</f>
        <v>0.72837455784192906</v>
      </c>
      <c r="T123" s="191">
        <f t="shared" si="135"/>
        <v>-1.7426544630543645E-3</v>
      </c>
      <c r="U123" s="236">
        <f>IFERROR('Παραδοχές διείσδυσης - κάλυψης'!M76/'Παραδοχές διείσδυσης - κάλυψης'!M98,0)</f>
        <v>0.72816691786528975</v>
      </c>
      <c r="V123" s="191">
        <f t="shared" si="136"/>
        <v>-2.8507307731136927E-4</v>
      </c>
      <c r="W123" s="236">
        <f>IFERROR('Παραδοχές διείσδυσης - κάλυψης'!N76/'Παραδοχές διείσδυσης - κάλυψης'!N98,0)</f>
        <v>0.7293748000944561</v>
      </c>
      <c r="X123" s="191">
        <f t="shared" si="137"/>
        <v>1.6587985522706803E-3</v>
      </c>
      <c r="Y123" s="237">
        <f t="shared" si="138"/>
        <v>8.5628128119079605E-3</v>
      </c>
    </row>
    <row r="125" spans="2:33" ht="15.75" x14ac:dyDescent="0.25">
      <c r="B125" s="352" t="s">
        <v>38</v>
      </c>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row>
    <row r="126" spans="2:33" ht="5.45" customHeight="1" outlineLevel="1" x14ac:dyDescent="0.2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row>
    <row r="127" spans="2:33" ht="14.25" customHeight="1" outlineLevel="1" x14ac:dyDescent="0.25">
      <c r="B127" s="382"/>
      <c r="C127" s="385" t="s">
        <v>20</v>
      </c>
      <c r="D127" s="372" t="s">
        <v>262</v>
      </c>
      <c r="E127" s="373"/>
      <c r="F127" s="373"/>
      <c r="G127" s="373"/>
      <c r="H127" s="373"/>
      <c r="I127" s="373"/>
      <c r="J127" s="374"/>
      <c r="K127" s="373" t="s">
        <v>260</v>
      </c>
      <c r="L127" s="374"/>
      <c r="M127" s="434" t="str">
        <f>"Ετήσιος ρυθμός ανάπτυξης (CAGR) "&amp;($C$3-5)&amp;" - "&amp;(($C$3-1))</f>
        <v>Ετήσιος ρυθμός ανάπτυξης (CAGR) 2018 - 2022</v>
      </c>
      <c r="N127" s="115"/>
      <c r="O127" s="440" t="s">
        <v>261</v>
      </c>
      <c r="P127" s="441"/>
      <c r="Q127" s="441"/>
      <c r="R127" s="441"/>
      <c r="S127" s="441"/>
      <c r="T127" s="441"/>
      <c r="U127" s="441"/>
      <c r="V127" s="441"/>
      <c r="W127" s="441"/>
      <c r="X127" s="442"/>
      <c r="Y127" s="434" t="str">
        <f>"Ετήσιος ρυθμός ανάπτυξης (CAGR) "&amp;$C$3&amp;" - "&amp;$E$3</f>
        <v>Ετήσιος ρυθμός ανάπτυξης (CAGR) 2023 - 2027</v>
      </c>
    </row>
    <row r="128" spans="2:33" ht="15.75" customHeight="1" outlineLevel="1" x14ac:dyDescent="0.25">
      <c r="B128" s="383"/>
      <c r="C128" s="386"/>
      <c r="D128" s="69">
        <f>$C$3-5</f>
        <v>2018</v>
      </c>
      <c r="E128" s="372">
        <f>$C$3-4</f>
        <v>2019</v>
      </c>
      <c r="F128" s="374"/>
      <c r="G128" s="372">
        <f>$C$3-3</f>
        <v>2020</v>
      </c>
      <c r="H128" s="374"/>
      <c r="I128" s="372">
        <f>$C$3+-2</f>
        <v>2021</v>
      </c>
      <c r="J128" s="374"/>
      <c r="K128" s="372">
        <f>$C$3-1</f>
        <v>2022</v>
      </c>
      <c r="L128" s="374"/>
      <c r="M128" s="435"/>
      <c r="N128" s="115"/>
      <c r="O128" s="372">
        <f>$C$3</f>
        <v>2023</v>
      </c>
      <c r="P128" s="374"/>
      <c r="Q128" s="372">
        <f>$C$3+1</f>
        <v>2024</v>
      </c>
      <c r="R128" s="374"/>
      <c r="S128" s="372">
        <f>$C$3+2</f>
        <v>2025</v>
      </c>
      <c r="T128" s="374"/>
      <c r="U128" s="372">
        <f>$C$3+3</f>
        <v>2026</v>
      </c>
      <c r="V128" s="374"/>
      <c r="W128" s="372">
        <f>$C$3+4</f>
        <v>2027</v>
      </c>
      <c r="X128" s="374"/>
      <c r="Y128" s="435"/>
    </row>
    <row r="129" spans="2:25" outlineLevel="1" x14ac:dyDescent="0.25">
      <c r="B129" s="384"/>
      <c r="C129" s="387"/>
      <c r="D129" s="88" t="s">
        <v>93</v>
      </c>
      <c r="E129" s="163" t="s">
        <v>93</v>
      </c>
      <c r="F129" s="68" t="s">
        <v>81</v>
      </c>
      <c r="G129" s="69" t="s">
        <v>93</v>
      </c>
      <c r="H129" s="68" t="s">
        <v>81</v>
      </c>
      <c r="I129" s="68" t="s">
        <v>93</v>
      </c>
      <c r="J129" s="68" t="s">
        <v>81</v>
      </c>
      <c r="K129" s="69" t="s">
        <v>93</v>
      </c>
      <c r="L129" s="68" t="s">
        <v>81</v>
      </c>
      <c r="M129" s="436"/>
      <c r="N129" s="55"/>
      <c r="O129" s="238" t="s">
        <v>93</v>
      </c>
      <c r="P129" s="239" t="s">
        <v>81</v>
      </c>
      <c r="Q129" s="238" t="s">
        <v>93</v>
      </c>
      <c r="R129" s="239" t="s">
        <v>81</v>
      </c>
      <c r="S129" s="238" t="s">
        <v>93</v>
      </c>
      <c r="T129" s="239" t="s">
        <v>81</v>
      </c>
      <c r="U129" s="238" t="s">
        <v>93</v>
      </c>
      <c r="V129" s="239" t="s">
        <v>81</v>
      </c>
      <c r="W129" s="238" t="s">
        <v>93</v>
      </c>
      <c r="X129" s="239" t="s">
        <v>81</v>
      </c>
      <c r="Y129" s="436"/>
    </row>
    <row r="130" spans="2:25" outlineLevel="1" x14ac:dyDescent="0.25">
      <c r="B130" s="281" t="s">
        <v>283</v>
      </c>
      <c r="C130" s="64" t="s">
        <v>56</v>
      </c>
      <c r="D130" s="226">
        <f>IFERROR('Διανεμόμενες ποσότητες αερίου'!D15/'Ανάπτυξη δικτύου'!E38,0)</f>
        <v>0</v>
      </c>
      <c r="E130" s="209">
        <f>IFERROR('Διανεμόμενες ποσότητες αερίου'!E15/'Ανάπτυξη δικτύου'!G38,0)</f>
        <v>0</v>
      </c>
      <c r="F130" s="191">
        <f>IFERROR((E130-D130)/D130,0)</f>
        <v>0</v>
      </c>
      <c r="G130" s="187">
        <f>IFERROR('Διανεμόμενες ποσότητες αερίου'!G15/'Ανάπτυξη δικτύου'!J38,0)</f>
        <v>0</v>
      </c>
      <c r="H130" s="191">
        <f>IFERROR((G130-E130)/E130,0)</f>
        <v>0</v>
      </c>
      <c r="I130" s="204">
        <f>IFERROR('Διανεμόμενες ποσότητες αερίου'!I15/'Ανάπτυξη δικτύου'!M38,0)</f>
        <v>3.2980780166041168E-2</v>
      </c>
      <c r="J130" s="191">
        <f>IFERROR((I130-G130)/G130,0)</f>
        <v>0</v>
      </c>
      <c r="K130" s="187">
        <f>IFERROR('Διανεμόμενες ποσότητες αερίου'!M15/'Ανάπτυξη δικτύου'!S38,0)</f>
        <v>0</v>
      </c>
      <c r="L130" s="191">
        <f>IFERROR((K130-I130)/I130,0)</f>
        <v>-1</v>
      </c>
      <c r="M130" s="237">
        <f t="shared" ref="M130:M133" si="161">IFERROR((K130/D130)^(1/4)-1,0)</f>
        <v>0</v>
      </c>
      <c r="O130" s="188">
        <f>IFERROR('Διανεμόμενες ποσότητες αερίου'!T15/'Ανάπτυξη δικτύου'!Y38,0)</f>
        <v>1.8913923324516395</v>
      </c>
      <c r="P130" s="191">
        <f>IFERROR((O130-K130)/K130,0)</f>
        <v>0</v>
      </c>
      <c r="Q130" s="187">
        <f>IFERROR('Διανεμόμενες ποσότητες αερίου'!Z15/'Ανάπτυξη δικτύου'!AB38,0)</f>
        <v>3.8610187195909726</v>
      </c>
      <c r="R130" s="191">
        <f>IFERROR((Q130-O130)/O130,0)</f>
        <v>1.0413632081220747</v>
      </c>
      <c r="S130" s="187">
        <f>IFERROR('Διανεμόμενες ποσότητες αερίου'!AF15/'Ανάπτυξη δικτύου'!AE38,0)</f>
        <v>4.8712169108551633</v>
      </c>
      <c r="T130" s="191">
        <f>IFERROR((S130-Q130)/Q130,0)</f>
        <v>0.26164032464758646</v>
      </c>
      <c r="U130" s="187">
        <f>IFERROR('Διανεμόμενες ποσότητες αερίου'!AL15/'Ανάπτυξη δικτύου'!AH38,0)</f>
        <v>5.1598449655020753</v>
      </c>
      <c r="V130" s="191">
        <f>IFERROR((U130-S130)/S130,0)</f>
        <v>5.9251735229388931E-2</v>
      </c>
      <c r="W130" s="187">
        <f>IFERROR('Διανεμόμενες ποσότητες αερίου'!AR15/'Ανάπτυξη δικτύου'!AK38,0)</f>
        <v>5.3137799279804279</v>
      </c>
      <c r="X130" s="191">
        <f>IFERROR((W130-U130)/U130,0)</f>
        <v>2.9833253422833033E-2</v>
      </c>
      <c r="Y130" s="237">
        <f>IFERROR((W130/O130)^(1/4)-1,0)</f>
        <v>0.29465926900067863</v>
      </c>
    </row>
    <row r="131" spans="2:25" outlineLevel="1" x14ac:dyDescent="0.25">
      <c r="B131" s="52" t="s">
        <v>284</v>
      </c>
      <c r="C131" s="64" t="s">
        <v>56</v>
      </c>
      <c r="D131" s="226">
        <f>IFERROR('Διανεμόμενες ποσότητες αερίου'!D16/'Ανάπτυξη δικτύου'!E39,0)</f>
        <v>0</v>
      </c>
      <c r="E131" s="209">
        <f>IFERROR('Διανεμόμενες ποσότητες αερίου'!E16/'Ανάπτυξη δικτύου'!G39,0)</f>
        <v>0</v>
      </c>
      <c r="F131" s="191">
        <f t="shared" ref="F131:F146" si="162">IFERROR((E131-D131)/D131,0)</f>
        <v>0</v>
      </c>
      <c r="G131" s="187">
        <f>IFERROR('Διανεμόμενες ποσότητες αερίου'!G16/'Ανάπτυξη δικτύου'!J39,0)</f>
        <v>0</v>
      </c>
      <c r="H131" s="191">
        <f t="shared" ref="H131:H146" si="163">IFERROR((G131-E131)/E131,0)</f>
        <v>0</v>
      </c>
      <c r="I131" s="204">
        <f>IFERROR('Διανεμόμενες ποσότητες αερίου'!I16/'Ανάπτυξη δικτύου'!M39,0)</f>
        <v>0</v>
      </c>
      <c r="J131" s="191">
        <f t="shared" ref="J131:J146" si="164">IFERROR((I131-G131)/G131,0)</f>
        <v>0</v>
      </c>
      <c r="K131" s="187">
        <f>IFERROR('Διανεμόμενες ποσότητες αερίου'!M16/'Ανάπτυξη δικτύου'!S39,0)</f>
        <v>0</v>
      </c>
      <c r="L131" s="191">
        <f t="shared" ref="L131:L146" si="165">IFERROR((K131-I131)/I131,0)</f>
        <v>0</v>
      </c>
      <c r="M131" s="237">
        <f t="shared" si="161"/>
        <v>0</v>
      </c>
      <c r="O131" s="188">
        <f>IFERROR('Διανεμόμενες ποσότητες αερίου'!T16/'Ανάπτυξη δικτύου'!Y39,0)</f>
        <v>0.31407838860422471</v>
      </c>
      <c r="P131" s="191">
        <f t="shared" ref="P131:P146" si="166">IFERROR((O131-K131)/K131,0)</f>
        <v>0</v>
      </c>
      <c r="Q131" s="187">
        <f>IFERROR('Διανεμόμενες ποσότητες αερίου'!Z16/'Ανάπτυξη δικτύου'!AB39,0)</f>
        <v>0.64571061611153469</v>
      </c>
      <c r="R131" s="191">
        <f t="shared" ref="R131:R146" si="167">IFERROR((Q131-O131)/O131,0)</f>
        <v>1.0558899928807428</v>
      </c>
      <c r="S131" s="187">
        <f>IFERROR('Διανεμόμενες ποσότητες αερίου'!AF16/'Ανάπτυξη δικτύου'!AE39,0)</f>
        <v>0.91308074462331323</v>
      </c>
      <c r="T131" s="191">
        <f t="shared" ref="T131:T146" si="168">IFERROR((S131-Q131)/Q131,0)</f>
        <v>0.41407113626515824</v>
      </c>
      <c r="U131" s="187">
        <f>IFERROR('Διανεμόμενες ποσότητες αερίου'!AL16/'Ανάπτυξη δικτύου'!AH39,0)</f>
        <v>0.93610227417689751</v>
      </c>
      <c r="V131" s="191">
        <f t="shared" ref="V131:V146" si="169">IFERROR((U131-S131)/S131,0)</f>
        <v>2.5213027094423822E-2</v>
      </c>
      <c r="W131" s="187">
        <f>IFERROR('Διανεμόμενες ποσότητες αερίου'!AR16/'Ανάπτυξη δικτύου'!AK39,0)</f>
        <v>0.90396103770733149</v>
      </c>
      <c r="X131" s="191">
        <f t="shared" ref="X131:X146" si="170">IFERROR((W131-U131)/U131,0)</f>
        <v>-3.4335176140691877E-2</v>
      </c>
      <c r="Y131" s="237">
        <f t="shared" ref="Y131:Y133" si="171">IFERROR((W131/O131)^(1/4)-1,0)</f>
        <v>0.30250054737967647</v>
      </c>
    </row>
    <row r="132" spans="2:25" outlineLevel="1" x14ac:dyDescent="0.25">
      <c r="B132" s="52" t="s">
        <v>285</v>
      </c>
      <c r="C132" s="64" t="s">
        <v>56</v>
      </c>
      <c r="D132" s="226">
        <f>IFERROR('Διανεμόμενες ποσότητες αερίου'!D17/'Ανάπτυξη δικτύου'!E40,0)</f>
        <v>0</v>
      </c>
      <c r="E132" s="209">
        <f>IFERROR('Διανεμόμενες ποσότητες αερίου'!E17/'Ανάπτυξη δικτύου'!G40,0)</f>
        <v>0</v>
      </c>
      <c r="F132" s="191">
        <f t="shared" si="162"/>
        <v>0</v>
      </c>
      <c r="G132" s="187">
        <f>IFERROR('Διανεμόμενες ποσότητες αερίου'!G17/'Ανάπτυξη δικτύου'!J40,0)</f>
        <v>0</v>
      </c>
      <c r="H132" s="191">
        <f t="shared" si="163"/>
        <v>0</v>
      </c>
      <c r="I132" s="187">
        <f>IFERROR('Διανεμόμενες ποσότητες αερίου'!I17/'Ανάπτυξη δικτύου'!M40,0)</f>
        <v>0</v>
      </c>
      <c r="J132" s="191">
        <f t="shared" si="164"/>
        <v>0</v>
      </c>
      <c r="K132" s="187">
        <f>IFERROR('Διανεμόμενες ποσότητες αερίου'!M17/'Ανάπτυξη δικτύου'!S40,0)</f>
        <v>0</v>
      </c>
      <c r="L132" s="191">
        <f t="shared" si="165"/>
        <v>0</v>
      </c>
      <c r="M132" s="237">
        <f t="shared" si="161"/>
        <v>0</v>
      </c>
      <c r="O132" s="188">
        <f>IFERROR('Διανεμόμενες ποσότητες αερίου'!T17/'Ανάπτυξη δικτύου'!Y40,0)</f>
        <v>0.32364164112964894</v>
      </c>
      <c r="P132" s="191">
        <f t="shared" si="166"/>
        <v>0</v>
      </c>
      <c r="Q132" s="187">
        <f>IFERROR('Διανεμόμενες ποσότητες αερίου'!Z17/'Ανάπτυξη δικτύου'!AB40,0)</f>
        <v>0.66849648725235389</v>
      </c>
      <c r="R132" s="191">
        <f t="shared" si="167"/>
        <v>1.0655453510834167</v>
      </c>
      <c r="S132" s="187">
        <f>IFERROR('Διανεμόμενες ποσότητες αερίου'!AF17/'Ανάπτυξη δικτύου'!AE40,0)</f>
        <v>0.90470095360802016</v>
      </c>
      <c r="T132" s="191">
        <f t="shared" si="168"/>
        <v>0.35333688487505893</v>
      </c>
      <c r="U132" s="187">
        <f>IFERROR('Διανεμόμενες ποσότητες αερίου'!AL17/'Ανάπτυξη δικτύου'!AH40,0)</f>
        <v>0.93137194797431377</v>
      </c>
      <c r="V132" s="191">
        <f t="shared" si="169"/>
        <v>2.9480453469102181E-2</v>
      </c>
      <c r="W132" s="187">
        <f>IFERROR('Διανεμόμενες ποσότητες αερίου'!AR17/'Ανάπτυξη δικτύου'!AK40,0)</f>
        <v>0.9216862357866813</v>
      </c>
      <c r="X132" s="191">
        <f t="shared" si="170"/>
        <v>-1.0399402954639557E-2</v>
      </c>
      <c r="Y132" s="237">
        <f t="shared" si="171"/>
        <v>0.29906139506529072</v>
      </c>
    </row>
    <row r="133" spans="2:25" ht="15" customHeight="1" outlineLevel="1" x14ac:dyDescent="0.25">
      <c r="B133" s="52" t="s">
        <v>286</v>
      </c>
      <c r="C133" s="64" t="s">
        <v>56</v>
      </c>
      <c r="D133" s="226">
        <f>IFERROR('Διανεμόμενες ποσότητες αερίου'!D18/'Ανάπτυξη δικτύου'!E46,0)</f>
        <v>0</v>
      </c>
      <c r="E133" s="209">
        <f>IFERROR('Διανεμόμενες ποσότητες αερίου'!E18/'Ανάπτυξη δικτύου'!G46,0)</f>
        <v>0</v>
      </c>
      <c r="F133" s="191">
        <f t="shared" si="162"/>
        <v>0</v>
      </c>
      <c r="G133" s="187">
        <f>IFERROR('Διανεμόμενες ποσότητες αερίου'!G18/'Ανάπτυξη δικτύου'!J46,0)</f>
        <v>0</v>
      </c>
      <c r="H133" s="191">
        <f t="shared" si="163"/>
        <v>0</v>
      </c>
      <c r="I133" s="172">
        <f>IFERROR('Διανεμόμενες ποσότητες αερίου'!I18/'Ανάπτυξη δικτύου'!M46,0)</f>
        <v>0</v>
      </c>
      <c r="J133" s="191">
        <f t="shared" si="164"/>
        <v>0</v>
      </c>
      <c r="K133" s="187">
        <f>IFERROR('Διανεμόμενες ποσότητες αερίου'!M18/'Ανάπτυξη δικτύου'!S46,0)</f>
        <v>0</v>
      </c>
      <c r="L133" s="191">
        <f t="shared" si="165"/>
        <v>0</v>
      </c>
      <c r="M133" s="237">
        <f t="shared" si="161"/>
        <v>0</v>
      </c>
      <c r="O133" s="188">
        <f>IFERROR('Διανεμόμενες ποσότητες αερίου'!T18/'Ανάπτυξη δικτύου'!Y41,0)</f>
        <v>0.11715555555555555</v>
      </c>
      <c r="P133" s="191">
        <f t="shared" si="166"/>
        <v>0</v>
      </c>
      <c r="Q133" s="187">
        <f>IFERROR('Διανεμόμενες ποσότητες αερίου'!Z18/'Ανάπτυξη δικτύου'!AB41,0)</f>
        <v>1.6090212765957448</v>
      </c>
      <c r="R133" s="191">
        <f t="shared" si="167"/>
        <v>12.734058696283862</v>
      </c>
      <c r="S133" s="187">
        <f>IFERROR('Διανεμόμενες ποσότητες αερίου'!AF18/'Ανάπτυξη δικτύου'!AE46,0)</f>
        <v>3.6783467854160867</v>
      </c>
      <c r="T133" s="191">
        <f t="shared" si="168"/>
        <v>1.286077156915213</v>
      </c>
      <c r="U133" s="187">
        <f>IFERROR('Διανεμόμενες ποσότητες αερίου'!AL18/'Ανάπτυξη δικτύου'!AH46,0)</f>
        <v>5.5196910659615916</v>
      </c>
      <c r="V133" s="191">
        <f t="shared" si="169"/>
        <v>0.50059018030765035</v>
      </c>
      <c r="W133" s="187">
        <f>IFERROR('Διανεμόμενες ποσότητες αερίου'!AR18/'Ανάπτυξη δικτύου'!AK46,0)</f>
        <v>6.3353325911494576</v>
      </c>
      <c r="X133" s="191">
        <f t="shared" si="170"/>
        <v>0.14776941597650303</v>
      </c>
      <c r="Y133" s="237">
        <f t="shared" si="171"/>
        <v>1.7117623885147406</v>
      </c>
    </row>
    <row r="134" spans="2:25" outlineLevel="1" x14ac:dyDescent="0.25">
      <c r="B134" s="52" t="s">
        <v>287</v>
      </c>
      <c r="C134" s="64" t="s">
        <v>56</v>
      </c>
      <c r="D134" s="226">
        <f>IFERROR('Διανεμόμενες ποσότητες αερίου'!D19/'Ανάπτυξη δικτύου'!E42,0)</f>
        <v>0</v>
      </c>
      <c r="E134" s="209">
        <f>IFERROR('Διανεμόμενες ποσότητες αερίου'!E19/'Ανάπτυξη δικτύου'!G42,0)</f>
        <v>0</v>
      </c>
      <c r="F134" s="191">
        <f>IFERROR((E134-D134)/D134,0)</f>
        <v>0</v>
      </c>
      <c r="G134" s="187">
        <f>IFERROR('Διανεμόμενες ποσότητες αερίου'!G19/'Ανάπτυξη δικτύου'!J42,0)</f>
        <v>0</v>
      </c>
      <c r="H134" s="191">
        <f>IFERROR((G134-E134)/E134,0)</f>
        <v>0</v>
      </c>
      <c r="I134" s="204">
        <f>IFERROR('Διανεμόμενες ποσότητες αερίου'!I19/'Ανάπτυξη δικτύου'!M42,0)</f>
        <v>0</v>
      </c>
      <c r="J134" s="191">
        <f>IFERROR((I134-G134)/G134,0)</f>
        <v>0</v>
      </c>
      <c r="K134" s="187">
        <f>IFERROR('Διανεμόμενες ποσότητες αερίου'!M19/'Ανάπτυξη δικτύου'!S42,0)</f>
        <v>0</v>
      </c>
      <c r="L134" s="191">
        <f>IFERROR((K134-I134)/I134,0)</f>
        <v>0</v>
      </c>
      <c r="M134" s="237">
        <f t="shared" ref="M134:M137" si="172">IFERROR((K134/D134)^(1/4)-1,0)</f>
        <v>0</v>
      </c>
      <c r="O134" s="188">
        <f>IFERROR('Διανεμόμενες ποσότητες αερίου'!T19/'Ανάπτυξη δικτύου'!Y42,0)</f>
        <v>0</v>
      </c>
      <c r="P134" s="191">
        <f>IFERROR((O134-K134)/K134,0)</f>
        <v>0</v>
      </c>
      <c r="Q134" s="187">
        <f>IFERROR('Διανεμόμενες ποσότητες αερίου'!Z19/'Ανάπτυξη δικτύου'!AB42,0)</f>
        <v>2.3042553191489361</v>
      </c>
      <c r="R134" s="191">
        <f>IFERROR((Q134-O134)/O134,0)</f>
        <v>0</v>
      </c>
      <c r="S134" s="187">
        <f>IFERROR('Διανεμόμενες ποσότητες αερίου'!AF19/'Ανάπτυξη δικτύου'!AE42,0)</f>
        <v>3.3633673469387757</v>
      </c>
      <c r="T134" s="191">
        <f>IFERROR((S134-Q134)/Q134,0)</f>
        <v>0.45963310531969032</v>
      </c>
      <c r="U134" s="187">
        <f>IFERROR('Διανεμόμενες ποσότητες αερίου'!AL19/'Ανάπτυξη δικτύου'!AH42,0)</f>
        <v>3.8999019607843137</v>
      </c>
      <c r="V134" s="191">
        <f>IFERROR((U134-S134)/S134,0)</f>
        <v>0.15952304892710392</v>
      </c>
      <c r="W134" s="187">
        <f>IFERROR('Διανεμόμενες ποσότητες αερίου'!AR19/'Ανάπτυξη δικτύου'!AK42,0)</f>
        <v>4.2627358490566039</v>
      </c>
      <c r="X134" s="191">
        <f>IFERROR((W134-U134)/U134,0)</f>
        <v>9.3036669106245987E-2</v>
      </c>
      <c r="Y134" s="237">
        <f>IFERROR((W134/O134)^(1/4)-1,0)</f>
        <v>0</v>
      </c>
    </row>
    <row r="135" spans="2:25" outlineLevel="1" x14ac:dyDescent="0.25">
      <c r="B135" s="52" t="s">
        <v>288</v>
      </c>
      <c r="C135" s="64" t="s">
        <v>56</v>
      </c>
      <c r="D135" s="226">
        <f>IFERROR('Διανεμόμενες ποσότητες αερίου'!D20/'Ανάπτυξη δικτύου'!E43,0)</f>
        <v>0</v>
      </c>
      <c r="E135" s="209">
        <f>IFERROR('Διανεμόμενες ποσότητες αερίου'!E20/'Ανάπτυξη δικτύου'!G43,0)</f>
        <v>0</v>
      </c>
      <c r="F135" s="191">
        <f t="shared" ref="F135:F137" si="173">IFERROR((E135-D135)/D135,0)</f>
        <v>0</v>
      </c>
      <c r="G135" s="187">
        <f>IFERROR('Διανεμόμενες ποσότητες αερίου'!G20/'Ανάπτυξη δικτύου'!J43,0)</f>
        <v>0</v>
      </c>
      <c r="H135" s="191">
        <f t="shared" ref="H135:H137" si="174">IFERROR((G135-E135)/E135,0)</f>
        <v>0</v>
      </c>
      <c r="I135" s="204">
        <f>IFERROR('Διανεμόμενες ποσότητες αερίου'!I20/'Ανάπτυξη δικτύου'!M43,0)</f>
        <v>0</v>
      </c>
      <c r="J135" s="191">
        <f t="shared" ref="J135:J137" si="175">IFERROR((I135-G135)/G135,0)</f>
        <v>0</v>
      </c>
      <c r="K135" s="187">
        <f>IFERROR('Διανεμόμενες ποσότητες αερίου'!M20/'Ανάπτυξη δικτύου'!S43,0)</f>
        <v>0</v>
      </c>
      <c r="L135" s="191">
        <f t="shared" ref="L135:L137" si="176">IFERROR((K135-I135)/I135,0)</f>
        <v>0</v>
      </c>
      <c r="M135" s="237">
        <f t="shared" si="172"/>
        <v>0</v>
      </c>
      <c r="O135" s="188">
        <f>IFERROR('Διανεμόμενες ποσότητες αερίου'!T20/'Ανάπτυξη δικτύου'!Y43,0)</f>
        <v>0.48588888888888887</v>
      </c>
      <c r="P135" s="191">
        <f t="shared" ref="P135:P137" si="177">IFERROR((O135-K135)/K135,0)</f>
        <v>0</v>
      </c>
      <c r="Q135" s="187">
        <f>IFERROR('Διανεμόμενες ποσότητες αερίου'!Z20/'Ανάπτυξη δικτύου'!AB43,0)</f>
        <v>2.8100499999999999</v>
      </c>
      <c r="R135" s="191">
        <f t="shared" ref="R135:R137" si="178">IFERROR((Q135-O135)/O135,0)</f>
        <v>4.7833180882689232</v>
      </c>
      <c r="S135" s="187">
        <f>IFERROR('Διανεμόμενες ποσότητες αερίου'!AF20/'Ανάπτυξη δικτύου'!AE43,0)</f>
        <v>4.2015000000000002</v>
      </c>
      <c r="T135" s="191">
        <f t="shared" ref="T135:T137" si="179">IFERROR((S135-Q135)/Q135,0)</f>
        <v>0.49516912510453565</v>
      </c>
      <c r="U135" s="187">
        <f>IFERROR('Διανεμόμενες ποσότητες αερίου'!AL20/'Ανάπτυξη δικτύου'!AH43,0)</f>
        <v>4.6888846153846151</v>
      </c>
      <c r="V135" s="191">
        <f t="shared" ref="V135:V137" si="180">IFERROR((U135-S135)/S135,0)</f>
        <v>0.11600252657018084</v>
      </c>
      <c r="W135" s="187">
        <f>IFERROR('Διανεμόμενες ποσότητες αερίου'!AR20/'Ανάπτυξη δικτύου'!AK43,0)</f>
        <v>4.3736071428571428</v>
      </c>
      <c r="X135" s="191">
        <f t="shared" ref="X135:X137" si="181">IFERROR((W135-U135)/U135,0)</f>
        <v>-6.7239332674773236E-2</v>
      </c>
      <c r="Y135" s="237">
        <f t="shared" ref="Y135:Y137" si="182">IFERROR((W135/O135)^(1/4)-1,0)</f>
        <v>0.73211092348067619</v>
      </c>
    </row>
    <row r="136" spans="2:25" outlineLevel="1" x14ac:dyDescent="0.25">
      <c r="B136" s="52" t="s">
        <v>289</v>
      </c>
      <c r="C136" s="64" t="s">
        <v>56</v>
      </c>
      <c r="D136" s="226">
        <f>IFERROR('Διανεμόμενες ποσότητες αερίου'!D21/'Ανάπτυξη δικτύου'!E44,0)</f>
        <v>0</v>
      </c>
      <c r="E136" s="209">
        <f>IFERROR('Διανεμόμενες ποσότητες αερίου'!E21/'Ανάπτυξη δικτύου'!G44,0)</f>
        <v>0</v>
      </c>
      <c r="F136" s="191">
        <f t="shared" si="173"/>
        <v>0</v>
      </c>
      <c r="G136" s="187">
        <f>IFERROR('Διανεμόμενες ποσότητες αερίου'!G21/'Ανάπτυξη δικτύου'!J44,0)</f>
        <v>0</v>
      </c>
      <c r="H136" s="191">
        <f t="shared" si="174"/>
        <v>0</v>
      </c>
      <c r="I136" s="187">
        <f>IFERROR('Διανεμόμενες ποσότητες αερίου'!I21/'Ανάπτυξη δικτύου'!M44,0)</f>
        <v>0</v>
      </c>
      <c r="J136" s="191">
        <f t="shared" si="175"/>
        <v>0</v>
      </c>
      <c r="K136" s="187">
        <f>IFERROR('Διανεμόμενες ποσότητες αερίου'!M21/'Ανάπτυξη δικτύου'!S44,0)</f>
        <v>0</v>
      </c>
      <c r="L136" s="191">
        <f t="shared" si="176"/>
        <v>0</v>
      </c>
      <c r="M136" s="237">
        <f t="shared" si="172"/>
        <v>0</v>
      </c>
      <c r="O136" s="188">
        <f>IFERROR('Διανεμόμενες ποσότητες αερίου'!T21/'Ανάπτυξη δικτύου'!Y44,0)</f>
        <v>0.23404834832969376</v>
      </c>
      <c r="P136" s="191">
        <f t="shared" si="177"/>
        <v>0</v>
      </c>
      <c r="Q136" s="187">
        <f>IFERROR('Διανεμόμενες ποσότητες αερίου'!Z21/'Ανάπτυξη δικτύου'!AB44,0)</f>
        <v>1.7074187772986058</v>
      </c>
      <c r="R136" s="191">
        <f t="shared" si="178"/>
        <v>6.2951541400900597</v>
      </c>
      <c r="S136" s="187">
        <f>IFERROR('Διανεμόμενες ποσότητες αερίου'!AF21/'Ανάπτυξη δικτύου'!AE44,0)</f>
        <v>2.7550394410337677</v>
      </c>
      <c r="T136" s="191">
        <f t="shared" si="179"/>
        <v>0.6135698386734717</v>
      </c>
      <c r="U136" s="187">
        <f>IFERROR('Διανεμόμενες ποσότητες αερίου'!AL21/'Ανάπτυξη δικτύου'!AH44,0)</f>
        <v>3.3749126559867624</v>
      </c>
      <c r="V136" s="191">
        <f t="shared" si="180"/>
        <v>0.22499613098838284</v>
      </c>
      <c r="W136" s="187">
        <f>IFERROR('Διανεμόμενες ποσότητες αερίου'!AR21/'Ανάπτυξη δικτύου'!AK44,0)</f>
        <v>3.7714787812975343</v>
      </c>
      <c r="X136" s="191">
        <f t="shared" si="181"/>
        <v>0.11750411513829928</v>
      </c>
      <c r="Y136" s="237">
        <f t="shared" si="182"/>
        <v>1.0035561679221416</v>
      </c>
    </row>
    <row r="137" spans="2:25" ht="15" customHeight="1" outlineLevel="1" x14ac:dyDescent="0.25">
      <c r="B137" s="52" t="s">
        <v>290</v>
      </c>
      <c r="C137" s="64" t="s">
        <v>56</v>
      </c>
      <c r="D137" s="226">
        <f>IFERROR('Διανεμόμενες ποσότητες αερίου'!D22/'Ανάπτυξη δικτύου'!E56,0)</f>
        <v>0</v>
      </c>
      <c r="E137" s="209">
        <f>IFERROR('Διανεμόμενες ποσότητες αερίου'!E22/'Ανάπτυξη δικτύου'!G56,0)</f>
        <v>0</v>
      </c>
      <c r="F137" s="191">
        <f t="shared" si="173"/>
        <v>0</v>
      </c>
      <c r="G137" s="187">
        <f>IFERROR('Διανεμόμενες ποσότητες αερίου'!G22/'Ανάπτυξη δικτύου'!J56,0)</f>
        <v>0</v>
      </c>
      <c r="H137" s="191">
        <f t="shared" si="174"/>
        <v>0</v>
      </c>
      <c r="I137" s="172">
        <f>IFERROR('Διανεμόμενες ποσότητες αερίου'!I22/'Ανάπτυξη δικτύου'!M56,0)</f>
        <v>0</v>
      </c>
      <c r="J137" s="191">
        <f t="shared" si="175"/>
        <v>0</v>
      </c>
      <c r="K137" s="187">
        <f>IFERROR('Διανεμόμενες ποσότητες αερίου'!M22/'Ανάπτυξη δικτύου'!S56,0)</f>
        <v>0</v>
      </c>
      <c r="L137" s="191">
        <f t="shared" si="176"/>
        <v>0</v>
      </c>
      <c r="M137" s="237">
        <f t="shared" si="172"/>
        <v>0</v>
      </c>
      <c r="O137" s="188">
        <f>IFERROR('Διανεμόμενες ποσότητες αερίου'!T22/'Ανάπτυξη δικτύου'!Y45,0)</f>
        <v>0.22888</v>
      </c>
      <c r="P137" s="191">
        <f t="shared" si="177"/>
        <v>0</v>
      </c>
      <c r="Q137" s="187">
        <f>IFERROR('Διανεμόμενες ποσότητες αερίου'!Z22/'Ανάπτυξη δικτύου'!AB45,0)</f>
        <v>2.0716153846153844</v>
      </c>
      <c r="R137" s="191">
        <f t="shared" si="178"/>
        <v>8.0510983249536192</v>
      </c>
      <c r="S137" s="187">
        <f>IFERROR('Διανεμόμενες ποσότητες αερίου'!AF22/'Ανάπτυξη δικτύου'!AE56,0)</f>
        <v>0</v>
      </c>
      <c r="T137" s="191">
        <f t="shared" si="179"/>
        <v>-1</v>
      </c>
      <c r="U137" s="187">
        <f>IFERROR('Διανεμόμενες ποσότητες αερίου'!AL22/'Ανάπτυξη δικτύου'!AH56,0)</f>
        <v>0</v>
      </c>
      <c r="V137" s="191">
        <f t="shared" si="180"/>
        <v>0</v>
      </c>
      <c r="W137" s="187">
        <f>IFERROR('Διανεμόμενες ποσότητες αερίου'!AR22/'Ανάπτυξη δικτύου'!AK56,0)</f>
        <v>0</v>
      </c>
      <c r="X137" s="191">
        <f t="shared" si="181"/>
        <v>0</v>
      </c>
      <c r="Y137" s="237">
        <f t="shared" si="182"/>
        <v>-1</v>
      </c>
    </row>
    <row r="138" spans="2:25" ht="15" customHeight="1" outlineLevel="1" x14ac:dyDescent="0.25">
      <c r="B138" s="52" t="s">
        <v>291</v>
      </c>
      <c r="C138" s="64" t="s">
        <v>56</v>
      </c>
      <c r="D138" s="226">
        <f>IFERROR('Διανεμόμενες ποσότητες αερίου'!D23/'Ανάπτυξη δικτύου'!E57,0)</f>
        <v>0</v>
      </c>
      <c r="E138" s="209">
        <f>IFERROR('Διανεμόμενες ποσότητες αερίου'!E23/'Ανάπτυξη δικτύου'!G57,0)</f>
        <v>0</v>
      </c>
      <c r="F138" s="191">
        <f t="shared" ref="F138:F144" si="183">IFERROR((E138-D138)/D138,0)</f>
        <v>0</v>
      </c>
      <c r="G138" s="187">
        <f>IFERROR('Διανεμόμενες ποσότητες αερίου'!G23/'Ανάπτυξη δικτύου'!J57,0)</f>
        <v>0</v>
      </c>
      <c r="H138" s="191">
        <f t="shared" ref="H138:H144" si="184">IFERROR((G138-E138)/E138,0)</f>
        <v>0</v>
      </c>
      <c r="I138" s="172">
        <f>IFERROR('Διανεμόμενες ποσότητες αερίου'!I23/'Ανάπτυξη δικτύου'!M57,0)</f>
        <v>0</v>
      </c>
      <c r="J138" s="191">
        <f t="shared" ref="J138:J144" si="185">IFERROR((I138-G138)/G138,0)</f>
        <v>0</v>
      </c>
      <c r="K138" s="187">
        <f>IFERROR('Διανεμόμενες ποσότητες αερίου'!M23/'Ανάπτυξη δικτύου'!S57,0)</f>
        <v>0</v>
      </c>
      <c r="L138" s="191">
        <f t="shared" ref="L138:L144" si="186">IFERROR((K138-I138)/I138,0)</f>
        <v>0</v>
      </c>
      <c r="M138" s="237">
        <f t="shared" ref="M138:M144" si="187">IFERROR((K138/D138)^(1/4)-1,0)</f>
        <v>0</v>
      </c>
      <c r="O138" s="188">
        <f>IFERROR('Διανεμόμενες ποσότητες αερίου'!T23/'Ανάπτυξη δικτύου'!Y46,0)</f>
        <v>0.63092123573615366</v>
      </c>
      <c r="P138" s="191">
        <f t="shared" ref="P138" si="188">IFERROR((O138-K138)/K138,0)</f>
        <v>0</v>
      </c>
      <c r="Q138" s="187">
        <f>IFERROR('Διανεμόμενες ποσότητες αερίου'!Z23/'Ανάπτυξη δικτύου'!AB46,0)</f>
        <v>0.75018090731978848</v>
      </c>
      <c r="R138" s="191">
        <f t="shared" ref="R138" si="189">IFERROR((Q138-O138)/O138,0)</f>
        <v>0.18902465922625608</v>
      </c>
      <c r="S138" s="187">
        <f>IFERROR('Διανεμόμενες ποσότητες αερίου'!AF23/'Ανάπτυξη δικτύου'!AE57,0)</f>
        <v>0</v>
      </c>
      <c r="T138" s="191">
        <f t="shared" ref="T138" si="190">IFERROR((S138-Q138)/Q138,0)</f>
        <v>-1</v>
      </c>
      <c r="U138" s="187">
        <f>IFERROR('Διανεμόμενες ποσότητες αερίου'!AL23/'Ανάπτυξη δικτύου'!AH57,0)</f>
        <v>0</v>
      </c>
      <c r="V138" s="191">
        <f t="shared" ref="V138" si="191">IFERROR((U138-S138)/S138,0)</f>
        <v>0</v>
      </c>
      <c r="W138" s="187">
        <f>IFERROR('Διανεμόμενες ποσότητες αερίου'!AR23/'Ανάπτυξη δικτύου'!AK57,0)</f>
        <v>0</v>
      </c>
      <c r="X138" s="191">
        <f t="shared" ref="X138" si="192">IFERROR((W138-U138)/U138,0)</f>
        <v>0</v>
      </c>
      <c r="Y138" s="237">
        <f t="shared" ref="Y138" si="193">IFERROR((W138/O138)^(1/4)-1,0)</f>
        <v>-1</v>
      </c>
    </row>
    <row r="139" spans="2:25" ht="15" customHeight="1" outlineLevel="1" x14ac:dyDescent="0.25">
      <c r="B139" s="52" t="s">
        <v>307</v>
      </c>
      <c r="C139" s="64" t="s">
        <v>56</v>
      </c>
      <c r="D139" s="226">
        <f>IFERROR('Διανεμόμενες ποσότητες αερίου'!D24/'Ανάπτυξη δικτύου'!E58,0)</f>
        <v>0</v>
      </c>
      <c r="E139" s="209">
        <f>IFERROR('Διανεμόμενες ποσότητες αερίου'!E24/'Ανάπτυξη δικτύου'!G58,0)</f>
        <v>0</v>
      </c>
      <c r="F139" s="191">
        <f t="shared" si="183"/>
        <v>0</v>
      </c>
      <c r="G139" s="187">
        <f>IFERROR('Διανεμόμενες ποσότητες αερίου'!G24/'Ανάπτυξη δικτύου'!J58,0)</f>
        <v>0</v>
      </c>
      <c r="H139" s="191">
        <f t="shared" si="184"/>
        <v>0</v>
      </c>
      <c r="I139" s="172">
        <f>IFERROR('Διανεμόμενες ποσότητες αερίου'!I24/'Ανάπτυξη δικτύου'!M58,0)</f>
        <v>0</v>
      </c>
      <c r="J139" s="191">
        <f t="shared" si="185"/>
        <v>0</v>
      </c>
      <c r="K139" s="187">
        <f>IFERROR('Διανεμόμενες ποσότητες αερίου'!M24/'Ανάπτυξη δικτύου'!S58,0)</f>
        <v>0</v>
      </c>
      <c r="L139" s="191">
        <f t="shared" si="186"/>
        <v>0</v>
      </c>
      <c r="M139" s="237">
        <f t="shared" si="187"/>
        <v>0</v>
      </c>
      <c r="O139" s="188">
        <f>IFERROR('Διανεμόμενες ποσότητες αερίου'!T24/'Ανάπτυξη δικτύου'!Y47,0)</f>
        <v>0.25127272727272726</v>
      </c>
      <c r="P139" s="191"/>
      <c r="Q139" s="187">
        <f>IFERROR('Διανεμόμενες ποσότητες αερίου'!Z24/'Ανάπτυξη δικτύου'!AB47,0)</f>
        <v>0.37522222222222223</v>
      </c>
      <c r="R139" s="191"/>
      <c r="S139" s="187">
        <f>IFERROR('Διανεμόμενες ποσότητες αερίου'!AF24/'Ανάπτυξη δικτύου'!AE58,0)</f>
        <v>0</v>
      </c>
      <c r="T139" s="191"/>
      <c r="U139" s="187">
        <f>IFERROR('Διανεμόμενες ποσότητες αερίου'!AL24/'Ανάπτυξη δικτύου'!AH58,0)</f>
        <v>0</v>
      </c>
      <c r="V139" s="191"/>
      <c r="W139" s="187">
        <f>IFERROR('Διανεμόμενες ποσότητες αερίου'!AR24/'Ανάπτυξη δικτύου'!AK58,0)</f>
        <v>0</v>
      </c>
      <c r="X139" s="191"/>
      <c r="Y139" s="237"/>
    </row>
    <row r="140" spans="2:25" ht="15" customHeight="1" outlineLevel="1" x14ac:dyDescent="0.25">
      <c r="B140" s="52" t="s">
        <v>304</v>
      </c>
      <c r="C140" s="64" t="s">
        <v>56</v>
      </c>
      <c r="D140" s="226">
        <f>IFERROR('Διανεμόμενες ποσότητες αερίου'!D25/'Ανάπτυξη δικτύου'!E59,0)</f>
        <v>0</v>
      </c>
      <c r="E140" s="209">
        <f>IFERROR('Διανεμόμενες ποσότητες αερίου'!E25/'Ανάπτυξη δικτύου'!G59,0)</f>
        <v>0</v>
      </c>
      <c r="F140" s="191">
        <f t="shared" si="183"/>
        <v>0</v>
      </c>
      <c r="G140" s="187">
        <f>IFERROR('Διανεμόμενες ποσότητες αερίου'!G25/'Ανάπτυξη δικτύου'!J59,0)</f>
        <v>0</v>
      </c>
      <c r="H140" s="191">
        <f t="shared" si="184"/>
        <v>0</v>
      </c>
      <c r="I140" s="172">
        <f>IFERROR('Διανεμόμενες ποσότητες αερίου'!I25/'Ανάπτυξη δικτύου'!M59,0)</f>
        <v>0</v>
      </c>
      <c r="J140" s="191">
        <f t="shared" si="185"/>
        <v>0</v>
      </c>
      <c r="K140" s="187">
        <f>IFERROR('Διανεμόμενες ποσότητες αερίου'!M25/'Ανάπτυξη δικτύου'!S59,0)</f>
        <v>0</v>
      </c>
      <c r="L140" s="191">
        <f t="shared" si="186"/>
        <v>0</v>
      </c>
      <c r="M140" s="237">
        <f t="shared" si="187"/>
        <v>0</v>
      </c>
      <c r="O140" s="188">
        <f>IFERROR('Διανεμόμενες ποσότητες αερίου'!T25/'Ανάπτυξη δικτύου'!Y48,0)</f>
        <v>0.255</v>
      </c>
      <c r="P140" s="191"/>
      <c r="Q140" s="187">
        <f>IFERROR('Διανεμόμενες ποσότητες αερίου'!Z25/'Ανάπτυξη δικτύου'!AB48,0)</f>
        <v>0.29375000000000001</v>
      </c>
      <c r="R140" s="191"/>
      <c r="S140" s="187">
        <f>IFERROR('Διανεμόμενες ποσότητες αερίου'!AF25/'Ανάπτυξη δικτύου'!AE59,0)</f>
        <v>0</v>
      </c>
      <c r="T140" s="191"/>
      <c r="U140" s="187">
        <f>IFERROR('Διανεμόμενες ποσότητες αερίου'!AL25/'Ανάπτυξη δικτύου'!AH59,0)</f>
        <v>0</v>
      </c>
      <c r="V140" s="191"/>
      <c r="W140" s="187">
        <f>IFERROR('Διανεμόμενες ποσότητες αερίου'!AR25/'Ανάπτυξη δικτύου'!AK59,0)</f>
        <v>0</v>
      </c>
      <c r="X140" s="191"/>
      <c r="Y140" s="237"/>
    </row>
    <row r="141" spans="2:25" ht="15" customHeight="1" outlineLevel="1" x14ac:dyDescent="0.25">
      <c r="B141" s="52" t="s">
        <v>305</v>
      </c>
      <c r="C141" s="64" t="s">
        <v>56</v>
      </c>
      <c r="D141" s="226">
        <f>IFERROR('Διανεμόμενες ποσότητες αερίου'!D26/'Ανάπτυξη δικτύου'!E60,0)</f>
        <v>0</v>
      </c>
      <c r="E141" s="209">
        <f>IFERROR('Διανεμόμενες ποσότητες αερίου'!E26/'Ανάπτυξη δικτύου'!G60,0)</f>
        <v>0</v>
      </c>
      <c r="F141" s="191">
        <f t="shared" si="183"/>
        <v>0</v>
      </c>
      <c r="G141" s="187">
        <f>IFERROR('Διανεμόμενες ποσότητες αερίου'!G26/'Ανάπτυξη δικτύου'!J60,0)</f>
        <v>0</v>
      </c>
      <c r="H141" s="191">
        <f t="shared" si="184"/>
        <v>0</v>
      </c>
      <c r="I141" s="172">
        <f>IFERROR('Διανεμόμενες ποσότητες αερίου'!I26/'Ανάπτυξη δικτύου'!M60,0)</f>
        <v>0</v>
      </c>
      <c r="J141" s="191">
        <f t="shared" si="185"/>
        <v>0</v>
      </c>
      <c r="K141" s="187">
        <f>IFERROR('Διανεμόμενες ποσότητες αερίου'!M26/'Ανάπτυξη δικτύου'!S60,0)</f>
        <v>0</v>
      </c>
      <c r="L141" s="191">
        <f t="shared" si="186"/>
        <v>0</v>
      </c>
      <c r="M141" s="237">
        <f t="shared" si="187"/>
        <v>0</v>
      </c>
      <c r="O141" s="188">
        <f>IFERROR('Διανεμόμενες ποσότητες αερίου'!T26/'Ανάπτυξη δικτύου'!Y49,0)</f>
        <v>0.20499999999999999</v>
      </c>
      <c r="P141" s="191"/>
      <c r="Q141" s="187">
        <f>IFERROR('Διανεμόμενες ποσότητες αερίου'!Z26/'Ανάπτυξη δικτύου'!AB49,0)</f>
        <v>0.28583333333333333</v>
      </c>
      <c r="R141" s="191"/>
      <c r="S141" s="187">
        <f>IFERROR('Διανεμόμενες ποσότητες αερίου'!AF26/'Ανάπτυξη δικτύου'!AE60,0)</f>
        <v>0</v>
      </c>
      <c r="T141" s="191"/>
      <c r="U141" s="187">
        <f>IFERROR('Διανεμόμενες ποσότητες αερίου'!AL26/'Ανάπτυξη δικτύου'!AH60,0)</f>
        <v>0</v>
      </c>
      <c r="V141" s="191"/>
      <c r="W141" s="187">
        <f>IFERROR('Διανεμόμενες ποσότητες αερίου'!AR26/'Ανάπτυξη δικτύου'!AK60,0)</f>
        <v>0</v>
      </c>
      <c r="X141" s="191"/>
      <c r="Y141" s="237"/>
    </row>
    <row r="142" spans="2:25" ht="15" customHeight="1" outlineLevel="1" x14ac:dyDescent="0.25">
      <c r="B142" s="52" t="s">
        <v>306</v>
      </c>
      <c r="C142" s="64" t="s">
        <v>56</v>
      </c>
      <c r="D142" s="226">
        <f>IFERROR('Διανεμόμενες ποσότητες αερίου'!D27/'Ανάπτυξη δικτύου'!E61,0)</f>
        <v>0</v>
      </c>
      <c r="E142" s="209">
        <f>IFERROR('Διανεμόμενες ποσότητες αερίου'!E27/'Ανάπτυξη δικτύου'!G61,0)</f>
        <v>0</v>
      </c>
      <c r="F142" s="191">
        <f t="shared" si="183"/>
        <v>0</v>
      </c>
      <c r="G142" s="187">
        <f>IFERROR('Διανεμόμενες ποσότητες αερίου'!G27/'Ανάπτυξη δικτύου'!J61,0)</f>
        <v>0</v>
      </c>
      <c r="H142" s="191">
        <f t="shared" si="184"/>
        <v>0</v>
      </c>
      <c r="I142" s="172">
        <f>IFERROR('Διανεμόμενες ποσότητες αερίου'!I27/'Ανάπτυξη δικτύου'!M61,0)</f>
        <v>0</v>
      </c>
      <c r="J142" s="191">
        <f t="shared" si="185"/>
        <v>0</v>
      </c>
      <c r="K142" s="187">
        <f>IFERROR('Διανεμόμενες ποσότητες αερίου'!M27/'Ανάπτυξη δικτύου'!S61,0)</f>
        <v>0</v>
      </c>
      <c r="L142" s="191">
        <f t="shared" si="186"/>
        <v>0</v>
      </c>
      <c r="M142" s="237">
        <f t="shared" si="187"/>
        <v>0</v>
      </c>
      <c r="O142" s="188">
        <f>IFERROR('Διανεμόμενες ποσότητες αερίου'!T27/'Ανάπτυξη δικτύου'!Y50,0)</f>
        <v>0.98</v>
      </c>
      <c r="P142" s="191"/>
      <c r="Q142" s="187">
        <f>IFERROR('Διανεμόμενες ποσότητες αερίου'!Z27/'Ανάπτυξη δικτύου'!AB50,0)</f>
        <v>1.1408333333333334</v>
      </c>
      <c r="R142" s="191"/>
      <c r="S142" s="187">
        <f>IFERROR('Διανεμόμενες ποσότητες αερίου'!AF27/'Ανάπτυξη δικτύου'!AE61,0)</f>
        <v>22.405189620758485</v>
      </c>
      <c r="T142" s="191"/>
      <c r="U142" s="187">
        <f>IFERROR('Διανεμόμενες ποσότητες αερίου'!AL27/'Ανάπτυξη δικτύου'!AH61,0)</f>
        <v>28.634651600753294</v>
      </c>
      <c r="V142" s="191"/>
      <c r="W142" s="187">
        <f>IFERROR('Διανεμόμενες ποσότητες αερίου'!AR27/'Ανάπτυξη δικτύου'!AK61,0)</f>
        <v>32.458866544789764</v>
      </c>
      <c r="X142" s="191"/>
      <c r="Y142" s="237"/>
    </row>
    <row r="143" spans="2:25" ht="15" customHeight="1" outlineLevel="1" x14ac:dyDescent="0.25">
      <c r="B143" s="52" t="s">
        <v>308</v>
      </c>
      <c r="C143" s="64" t="s">
        <v>56</v>
      </c>
      <c r="D143" s="226">
        <f>IFERROR('Διανεμόμενες ποσότητες αερίου'!D28/'Ανάπτυξη δικτύου'!E62,0)</f>
        <v>0</v>
      </c>
      <c r="E143" s="209">
        <f>IFERROR('Διανεμόμενες ποσότητες αερίου'!E28/'Ανάπτυξη δικτύου'!G62,0)</f>
        <v>0</v>
      </c>
      <c r="F143" s="191">
        <f t="shared" si="183"/>
        <v>0</v>
      </c>
      <c r="G143" s="187">
        <f>IFERROR('Διανεμόμενες ποσότητες αερίου'!G28/'Ανάπτυξη δικτύου'!J62,0)</f>
        <v>0</v>
      </c>
      <c r="H143" s="191">
        <f t="shared" si="184"/>
        <v>0</v>
      </c>
      <c r="I143" s="172">
        <f>IFERROR('Διανεμόμενες ποσότητες αερίου'!I28/'Ανάπτυξη δικτύου'!M62,0)</f>
        <v>0</v>
      </c>
      <c r="J143" s="191">
        <f t="shared" si="185"/>
        <v>0</v>
      </c>
      <c r="K143" s="187">
        <f>IFERROR('Διανεμόμενες ποσότητες αερίου'!M28/'Ανάπτυξη δικτύου'!S62,0)</f>
        <v>0</v>
      </c>
      <c r="L143" s="191">
        <f t="shared" si="186"/>
        <v>0</v>
      </c>
      <c r="M143" s="237">
        <f t="shared" si="187"/>
        <v>0</v>
      </c>
      <c r="O143" s="188">
        <f>IFERROR('Διανεμόμενες ποσότητες αερίου'!T28/'Ανάπτυξη δικτύου'!Y51,0)</f>
        <v>0.84</v>
      </c>
      <c r="P143" s="191"/>
      <c r="Q143" s="187">
        <f>IFERROR('Διανεμόμενες ποσότητες αερίου'!Z28/'Ανάπτυξη δικτύου'!AB51,0)</f>
        <v>1.1074999999999999</v>
      </c>
      <c r="R143" s="191"/>
      <c r="S143" s="187">
        <f>IFERROR('Διανεμόμενες ποσότητες αερίου'!AF28/'Ανάπτυξη δικτύου'!AE62,0)</f>
        <v>13.862500000000001</v>
      </c>
      <c r="T143" s="191"/>
      <c r="U143" s="187">
        <f>IFERROR('Διανεμόμενες ποσότητες αερίου'!AL28/'Ανάπτυξη δικτύου'!AH62,0)</f>
        <v>17.263824884792626</v>
      </c>
      <c r="V143" s="191"/>
      <c r="W143" s="187">
        <f>IFERROR('Διανεμόμενες ποσότητες αερίου'!AR28/'Ανάπτυξη δικτύου'!AK62,0)</f>
        <v>19.064625850340136</v>
      </c>
      <c r="X143" s="191"/>
      <c r="Y143" s="237"/>
    </row>
    <row r="144" spans="2:25" ht="15" customHeight="1" outlineLevel="1" x14ac:dyDescent="0.25">
      <c r="B144" s="52"/>
      <c r="C144" s="64"/>
      <c r="D144" s="226">
        <f>IFERROR('Διανεμόμενες ποσότητες αερίου'!D29/'Ανάπτυξη δικτύου'!E63,0)</f>
        <v>0</v>
      </c>
      <c r="E144" s="209">
        <f>IFERROR('Διανεμόμενες ποσότητες αερίου'!E29/'Ανάπτυξη δικτύου'!G63,0)</f>
        <v>0</v>
      </c>
      <c r="F144" s="191">
        <f t="shared" si="183"/>
        <v>0</v>
      </c>
      <c r="G144" s="187">
        <f>IFERROR('Διανεμόμενες ποσότητες αερίου'!G29/'Ανάπτυξη δικτύου'!J63,0)</f>
        <v>0</v>
      </c>
      <c r="H144" s="191">
        <f t="shared" si="184"/>
        <v>0</v>
      </c>
      <c r="I144" s="172">
        <f>IFERROR('Διανεμόμενες ποσότητες αερίου'!I29/'Ανάπτυξη δικτύου'!M63,0)</f>
        <v>0</v>
      </c>
      <c r="J144" s="191">
        <f t="shared" si="185"/>
        <v>0</v>
      </c>
      <c r="K144" s="187">
        <f>IFERROR('Διανεμόμενες ποσότητες αερίου'!M29/'Ανάπτυξη δικτύου'!S63,0)</f>
        <v>0</v>
      </c>
      <c r="L144" s="191">
        <f t="shared" si="186"/>
        <v>0</v>
      </c>
      <c r="M144" s="237">
        <f t="shared" si="187"/>
        <v>0</v>
      </c>
      <c r="O144" s="188">
        <f>IFERROR('Διανεμόμενες ποσότητες αερίου'!T29/'Ανάπτυξη δικτύου'!Y52,0)</f>
        <v>0</v>
      </c>
      <c r="P144" s="191"/>
      <c r="Q144" s="187">
        <f>IFERROR('Διανεμόμενες ποσότητες αερίου'!Z29/'Ανάπτυξη δικτύου'!AB52,0)</f>
        <v>0</v>
      </c>
      <c r="R144" s="191"/>
      <c r="S144" s="187">
        <f>IFERROR('Διανεμόμενες ποσότητες αερίου'!AF29/'Ανάπτυξη δικτύου'!AE63,0)</f>
        <v>0</v>
      </c>
      <c r="T144" s="191"/>
      <c r="U144" s="187">
        <f>IFERROR('Διανεμόμενες ποσότητες αερίου'!AL29/'Ανάπτυξη δικτύου'!AH63,0)</f>
        <v>0</v>
      </c>
      <c r="V144" s="191"/>
      <c r="W144" s="187">
        <f>IFERROR('Διανεμόμενες ποσότητες αερίου'!AR29/'Ανάπτυξη δικτύου'!AK63,0)</f>
        <v>0</v>
      </c>
      <c r="X144" s="191"/>
      <c r="Y144" s="237"/>
    </row>
    <row r="145" spans="2:33" ht="15" customHeight="1" outlineLevel="1" x14ac:dyDescent="0.25">
      <c r="B145" s="437" t="s">
        <v>90</v>
      </c>
      <c r="C145" s="438"/>
      <c r="D145" s="438"/>
      <c r="E145" s="438"/>
      <c r="F145" s="438"/>
      <c r="G145" s="438"/>
      <c r="H145" s="438"/>
      <c r="I145" s="438"/>
      <c r="J145" s="438"/>
      <c r="K145" s="438"/>
      <c r="L145" s="438"/>
      <c r="M145" s="438"/>
      <c r="N145" s="438"/>
      <c r="O145" s="438"/>
      <c r="P145" s="438"/>
      <c r="Q145" s="438"/>
      <c r="R145" s="438"/>
      <c r="S145" s="438"/>
      <c r="T145" s="438"/>
      <c r="U145" s="438"/>
      <c r="V145" s="438"/>
      <c r="W145" s="438"/>
      <c r="X145" s="438"/>
      <c r="Y145" s="439"/>
    </row>
    <row r="146" spans="2:33" ht="15" customHeight="1" outlineLevel="1" x14ac:dyDescent="0.25">
      <c r="B146" s="52" t="s">
        <v>82</v>
      </c>
      <c r="C146" s="49" t="s">
        <v>56</v>
      </c>
      <c r="D146" s="233">
        <f>IFERROR('Διανεμόμενες ποσότητες αερίου'!D31/'Ανάπτυξη δικτύου'!E54,0)</f>
        <v>0</v>
      </c>
      <c r="E146" s="225">
        <f>IFERROR('Διανεμόμενες ποσότητες αερίου'!E31/'Ανάπτυξη δικτύου'!G54,0)</f>
        <v>0</v>
      </c>
      <c r="F146" s="191">
        <f t="shared" si="162"/>
        <v>0</v>
      </c>
      <c r="G146" s="172">
        <f>IFERROR('Διανεμόμενες ποσότητες αερίου'!G31/'Ανάπτυξη δικτύου'!J54,0)</f>
        <v>0</v>
      </c>
      <c r="H146" s="191">
        <f t="shared" si="163"/>
        <v>0</v>
      </c>
      <c r="I146" s="187">
        <f>IFERROR('Διανεμόμενες ποσότητες αερίου'!I31/'Ανάπτυξη δικτύου'!M54,0)</f>
        <v>6.4881085136148896E-3</v>
      </c>
      <c r="J146" s="191">
        <f t="shared" si="164"/>
        <v>0</v>
      </c>
      <c r="K146" s="172">
        <f>IFERROR('Διανεμόμενες ποσότητες αερίου'!M31/'Ανάπτυξη δικτύου'!S54,0)</f>
        <v>0</v>
      </c>
      <c r="L146" s="191">
        <f t="shared" si="165"/>
        <v>-1</v>
      </c>
      <c r="M146" s="237">
        <f>IFERROR((K146/D146)^(1/4)-1,0)</f>
        <v>0</v>
      </c>
      <c r="N146" s="115"/>
      <c r="O146" s="207">
        <f>IFERROR('Διανεμόμενες ποσότητες αερίου'!T31/'Ανάπτυξη δικτύου'!Y54,0)</f>
        <v>0.28221174967756052</v>
      </c>
      <c r="P146" s="191">
        <f t="shared" si="166"/>
        <v>0</v>
      </c>
      <c r="Q146" s="172">
        <f>IFERROR('Διανεμόμενες ποσότητες αερίου'!Z31/'Ανάπτυξη δικτύου'!AB54,0)</f>
        <v>1.55685016805469</v>
      </c>
      <c r="R146" s="191">
        <f t="shared" si="167"/>
        <v>4.5166029402867194</v>
      </c>
      <c r="S146" s="172">
        <f>IFERROR('Διανεμόμενες ποσότητες αερίου'!AF31/'Ανάπτυξη δικτύου'!AE54,0)</f>
        <v>2.3685813309223951</v>
      </c>
      <c r="T146" s="191">
        <f t="shared" si="168"/>
        <v>0.52139324613490368</v>
      </c>
      <c r="U146" s="172">
        <f>IFERROR('Διανεμόμενες ποσότητες αερίου'!AL31/'Ανάπτυξη δικτύου'!AH54,0)</f>
        <v>2.9114981968105842</v>
      </c>
      <c r="V146" s="191">
        <f t="shared" si="169"/>
        <v>0.22921605384635932</v>
      </c>
      <c r="W146" s="172">
        <f>IFERROR('Διανεμόμενες ποσότητες αερίου'!AR31/'Ανάπτυξη δικτύου'!AK54,0)</f>
        <v>3.0892748626343458</v>
      </c>
      <c r="X146" s="191">
        <f t="shared" si="170"/>
        <v>6.1060201245705041E-2</v>
      </c>
      <c r="Y146" s="237">
        <f>IFERROR((W146/O146)^(1/4)-1,0)</f>
        <v>0.81894833993997973</v>
      </c>
    </row>
    <row r="147" spans="2:33" ht="15" customHeight="1" x14ac:dyDescent="0.25"/>
    <row r="148" spans="2:33" ht="15.75" x14ac:dyDescent="0.25">
      <c r="B148" s="352" t="s">
        <v>36</v>
      </c>
      <c r="C148" s="35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row>
    <row r="149" spans="2:33" ht="5.45" customHeight="1" outlineLevel="1" x14ac:dyDescent="0.2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row>
    <row r="150" spans="2:33" ht="14.25" customHeight="1" outlineLevel="1" x14ac:dyDescent="0.25">
      <c r="B150" s="382"/>
      <c r="C150" s="382" t="s">
        <v>20</v>
      </c>
      <c r="D150" s="372" t="s">
        <v>262</v>
      </c>
      <c r="E150" s="373"/>
      <c r="F150" s="373"/>
      <c r="G150" s="373"/>
      <c r="H150" s="373"/>
      <c r="I150" s="373"/>
      <c r="J150" s="374"/>
      <c r="K150" s="373" t="s">
        <v>260</v>
      </c>
      <c r="L150" s="374"/>
      <c r="M150" s="434" t="str">
        <f>"Ετήσιος ρυθμός ανάπτυξης (CAGR) "&amp;($C$3-5)&amp;" - "&amp;(($C$3-1))</f>
        <v>Ετήσιος ρυθμός ανάπτυξης (CAGR) 2018 - 2022</v>
      </c>
      <c r="N150" s="115"/>
      <c r="O150" s="440" t="s">
        <v>261</v>
      </c>
      <c r="P150" s="441"/>
      <c r="Q150" s="441"/>
      <c r="R150" s="441"/>
      <c r="S150" s="441"/>
      <c r="T150" s="441"/>
      <c r="U150" s="441"/>
      <c r="V150" s="441"/>
      <c r="W150" s="441"/>
      <c r="X150" s="442"/>
      <c r="Y150" s="434" t="str">
        <f>"Ετήσιος ρυθμός ανάπτυξης (CAGR) "&amp;$C$3&amp;" - "&amp;$E$3</f>
        <v>Ετήσιος ρυθμός ανάπτυξης (CAGR) 2023 - 2027</v>
      </c>
    </row>
    <row r="151" spans="2:33" ht="15.75" customHeight="1" outlineLevel="1" x14ac:dyDescent="0.25">
      <c r="B151" s="383"/>
      <c r="C151" s="383"/>
      <c r="D151" s="69">
        <f>$C$3-5</f>
        <v>2018</v>
      </c>
      <c r="E151" s="372">
        <f>$C$3-4</f>
        <v>2019</v>
      </c>
      <c r="F151" s="374"/>
      <c r="G151" s="372">
        <f>$C$3-3</f>
        <v>2020</v>
      </c>
      <c r="H151" s="374"/>
      <c r="I151" s="372">
        <f>$C$3+-2</f>
        <v>2021</v>
      </c>
      <c r="J151" s="374"/>
      <c r="K151" s="372">
        <f>$C$3-1</f>
        <v>2022</v>
      </c>
      <c r="L151" s="374"/>
      <c r="M151" s="435"/>
      <c r="N151" s="115"/>
      <c r="O151" s="372">
        <f>$C$3</f>
        <v>2023</v>
      </c>
      <c r="P151" s="374"/>
      <c r="Q151" s="372">
        <f>$C$3+1</f>
        <v>2024</v>
      </c>
      <c r="R151" s="374"/>
      <c r="S151" s="372">
        <f>$C$3+2</f>
        <v>2025</v>
      </c>
      <c r="T151" s="374"/>
      <c r="U151" s="372">
        <f>$C$3+3</f>
        <v>2026</v>
      </c>
      <c r="V151" s="374"/>
      <c r="W151" s="372">
        <f>$C$3+4</f>
        <v>2027</v>
      </c>
      <c r="X151" s="374"/>
      <c r="Y151" s="435"/>
    </row>
    <row r="152" spans="2:33" ht="15" customHeight="1" outlineLevel="1" x14ac:dyDescent="0.25">
      <c r="B152" s="384"/>
      <c r="C152" s="384"/>
      <c r="D152" s="88" t="s">
        <v>93</v>
      </c>
      <c r="E152" s="69" t="s">
        <v>93</v>
      </c>
      <c r="F152" s="68" t="s">
        <v>81</v>
      </c>
      <c r="G152" s="69" t="s">
        <v>93</v>
      </c>
      <c r="H152" s="68" t="s">
        <v>81</v>
      </c>
      <c r="I152" s="69" t="s">
        <v>93</v>
      </c>
      <c r="J152" s="68" t="s">
        <v>81</v>
      </c>
      <c r="K152" s="69" t="s">
        <v>93</v>
      </c>
      <c r="L152" s="68" t="s">
        <v>81</v>
      </c>
      <c r="M152" s="436"/>
      <c r="O152" s="238" t="s">
        <v>93</v>
      </c>
      <c r="P152" s="239" t="s">
        <v>81</v>
      </c>
      <c r="Q152" s="238" t="s">
        <v>93</v>
      </c>
      <c r="R152" s="239" t="s">
        <v>81</v>
      </c>
      <c r="S152" s="238" t="s">
        <v>93</v>
      </c>
      <c r="T152" s="239" t="s">
        <v>81</v>
      </c>
      <c r="U152" s="238" t="s">
        <v>93</v>
      </c>
      <c r="V152" s="239" t="s">
        <v>81</v>
      </c>
      <c r="W152" s="238" t="s">
        <v>93</v>
      </c>
      <c r="X152" s="239" t="s">
        <v>81</v>
      </c>
      <c r="Y152" s="436"/>
    </row>
    <row r="153" spans="2:33" outlineLevel="1" x14ac:dyDescent="0.25">
      <c r="B153" s="281" t="s">
        <v>283</v>
      </c>
      <c r="C153" s="53" t="s">
        <v>57</v>
      </c>
      <c r="D153" s="226">
        <f>IFERROR('Ενεργές συνδέσεις'!E14/'Ανάπτυξη δικτύου'!E38,0)</f>
        <v>0</v>
      </c>
      <c r="E153" s="187">
        <f>IFERROR('Ενεργές συνδέσεις'!G14/'Ανάπτυξη δικτύου'!G38,0)</f>
        <v>0</v>
      </c>
      <c r="F153" s="191">
        <f>IFERROR((E153-D153)/D153,0)</f>
        <v>0</v>
      </c>
      <c r="G153" s="187">
        <f>IFERROR('Ενεργές συνδέσεις'!J14/'Ανάπτυξη δικτύου'!J38,0)</f>
        <v>0</v>
      </c>
      <c r="H153" s="191">
        <f>IFERROR((G153-E153)/E153,0)</f>
        <v>0</v>
      </c>
      <c r="I153" s="187">
        <f>IFERROR('Ενεργές συνδέσεις'!M14/'Ανάπτυξη δικτύου'!M38,0)</f>
        <v>0</v>
      </c>
      <c r="J153" s="191">
        <f>IFERROR((I153-G153)/G153,0)</f>
        <v>0</v>
      </c>
      <c r="K153" s="187">
        <f>IFERROR('Ενεργές συνδέσεις'!S14/'Ανάπτυξη δικτύου'!S38,0)</f>
        <v>1.1372682815876264E-2</v>
      </c>
      <c r="L153" s="191">
        <f>IFERROR((K153-I153)/I153,0)</f>
        <v>0</v>
      </c>
      <c r="M153" s="237">
        <f t="shared" ref="M153:M156" si="194">IFERROR((K153/D153)^(1/4)-1,0)</f>
        <v>0</v>
      </c>
      <c r="N153" s="55"/>
      <c r="O153" s="188">
        <f>IFERROR('Ενεργές συνδέσεις'!AA14/'Ανάπτυξη δικτύου'!Y38,0)</f>
        <v>0.10548455973740399</v>
      </c>
      <c r="P153" s="191">
        <f>IFERROR((O153-K153)/K153,0)</f>
        <v>8.2752573377099328</v>
      </c>
      <c r="Q153" s="187">
        <f>IFERROR('Ενεργές συνδέσεις'!AF14/'Ανάπτυξη δικτύου'!AB38,0)</f>
        <v>0.19956568349872178</v>
      </c>
      <c r="R153" s="191">
        <f>IFERROR((Q153-O153)/O153,0)</f>
        <v>0.89189473791733864</v>
      </c>
      <c r="S153" s="187">
        <f>IFERROR('Ενεργές συνδέσεις'!AK14/'Ανάπτυξη δικτύου'!AE38,0)</f>
        <v>0.25729129442810411</v>
      </c>
      <c r="T153" s="191">
        <f>IFERROR((S153-Q153)/Q153,0)</f>
        <v>0.28925619834710742</v>
      </c>
      <c r="U153" s="187">
        <f>IFERROR('Ενεργές συνδέσεις'!AP14/'Ανάπτυξη δικτύου'!AH38,0)</f>
        <v>0.27378432612221337</v>
      </c>
      <c r="V153" s="191">
        <f>IFERROR((U153-S153)/S153,0)</f>
        <v>6.4102564102564194E-2</v>
      </c>
      <c r="W153" s="187">
        <f>IFERROR('Ενεργές συνδέσεις'!AU14/'Ανάπτυξη δικτύου'!AK38,0)</f>
        <v>0.28258060969240495</v>
      </c>
      <c r="X153" s="191">
        <f>IFERROR((W153-U153)/U153,0)</f>
        <v>3.2128514056224834E-2</v>
      </c>
      <c r="Y153" s="237">
        <f>IFERROR((W153/O153)^(1/4)-1,0)</f>
        <v>0.27934703162924746</v>
      </c>
    </row>
    <row r="154" spans="2:33" outlineLevel="1" x14ac:dyDescent="0.25">
      <c r="B154" s="52" t="s">
        <v>284</v>
      </c>
      <c r="C154" s="53" t="s">
        <v>57</v>
      </c>
      <c r="D154" s="226">
        <f>IFERROR('Ενεργές συνδέσεις'!E17/'Ανάπτυξη δικτύου'!E39,0)</f>
        <v>0</v>
      </c>
      <c r="E154" s="187">
        <f>IFERROR('Ενεργές συνδέσεις'!G17/'Ανάπτυξη δικτύου'!G39,0)</f>
        <v>0</v>
      </c>
      <c r="F154" s="191">
        <f t="shared" ref="F154:F169" si="195">IFERROR((E154-D154)/D154,0)</f>
        <v>0</v>
      </c>
      <c r="G154" s="187">
        <f>IFERROR('Ενεργές συνδέσεις'!J17/'Ανάπτυξη δικτύου'!J39,0)</f>
        <v>0</v>
      </c>
      <c r="H154" s="191">
        <f t="shared" ref="H154:H169" si="196">IFERROR((G154-E154)/E154,0)</f>
        <v>0</v>
      </c>
      <c r="I154" s="187">
        <f>IFERROR('Ενεργές συνδέσεις'!M17/'Ανάπτυξη δικτύου'!M39,0)</f>
        <v>0</v>
      </c>
      <c r="J154" s="191">
        <f t="shared" ref="J154:J169" si="197">IFERROR((I154-G154)/G154,0)</f>
        <v>0</v>
      </c>
      <c r="K154" s="187">
        <f>IFERROR('Ενεργές συνδέσεις'!S17/'Ανάπτυξη δικτύου'!S39,0)</f>
        <v>0</v>
      </c>
      <c r="L154" s="191">
        <f t="shared" ref="L154:L169" si="198">IFERROR((K154-I154)/I154,0)</f>
        <v>0</v>
      </c>
      <c r="M154" s="237">
        <f t="shared" si="194"/>
        <v>0</v>
      </c>
      <c r="N154" s="55"/>
      <c r="O154" s="188">
        <f>IFERROR('Ενεργές συνδέσεις'!AA15/'Ανάπτυξη δικτύου'!Y39,0)</f>
        <v>2.5650242793865876E-2</v>
      </c>
      <c r="P154" s="191">
        <f t="shared" ref="P154:P169" si="199">IFERROR((O154-K154)/K154,0)</f>
        <v>0</v>
      </c>
      <c r="Q154" s="187">
        <f>IFERROR('Ενεργές συνδέσεις'!AF17/'Ανάπτυξη δικτύου'!AB39,0)</f>
        <v>0.15712308549310577</v>
      </c>
      <c r="R154" s="191">
        <f t="shared" ref="R154:R169" si="200">IFERROR((Q154-O154)/O154,0)</f>
        <v>5.1255983717503426</v>
      </c>
      <c r="S154" s="187">
        <f>IFERROR('Ενεργές συνδέσεις'!AK17/'Ανάπτυξη δικτύου'!AE39,0)</f>
        <v>0.23711379398363125</v>
      </c>
      <c r="T154" s="191">
        <f t="shared" ref="T154:T169" si="201">IFERROR((S154-Q154)/Q154,0)</f>
        <v>0.50909583553229865</v>
      </c>
      <c r="U154" s="187">
        <f>IFERROR('Ενεργές συνδέσεις'!AP17/'Ανάπτυξη δικτύου'!AH39,0)</f>
        <v>0.25472490225672356</v>
      </c>
      <c r="V154" s="191">
        <f t="shared" ref="V154:V169" si="202">IFERROR((U154-S154)/S154,0)</f>
        <v>7.42728121262657E-2</v>
      </c>
      <c r="W154" s="187">
        <f>IFERROR('Ενεργές συνδέσεις'!AU17/'Ανάπτυξη δικτύου'!AK39,0)</f>
        <v>0.25689385737590081</v>
      </c>
      <c r="X154" s="191">
        <f t="shared" ref="X154:X169" si="203">IFERROR((W154-U154)/U154,0)</f>
        <v>8.5148923405662085E-3</v>
      </c>
      <c r="Y154" s="237">
        <f t="shared" ref="Y154:Y169" si="204">IFERROR((W154/O154)^(1/4)-1,0)</f>
        <v>0.77895744741181483</v>
      </c>
    </row>
    <row r="155" spans="2:33" outlineLevel="1" x14ac:dyDescent="0.25">
      <c r="B155" s="52" t="s">
        <v>285</v>
      </c>
      <c r="C155" s="53" t="s">
        <v>57</v>
      </c>
      <c r="D155" s="226">
        <f>IFERROR('Ενεργές συνδέσεις'!E19/'Ανάπτυξη δικτύου'!E40,0)</f>
        <v>0</v>
      </c>
      <c r="E155" s="187">
        <f>IFERROR('Ενεργές συνδέσεις'!G19/'Ανάπτυξη δικτύου'!G40,0)</f>
        <v>0</v>
      </c>
      <c r="F155" s="191">
        <f t="shared" si="195"/>
        <v>0</v>
      </c>
      <c r="G155" s="187">
        <f>IFERROR('Ενεργές συνδέσεις'!J19/'Ανάπτυξη δικτύου'!J40,0)</f>
        <v>0</v>
      </c>
      <c r="H155" s="191">
        <f t="shared" si="196"/>
        <v>0</v>
      </c>
      <c r="I155" s="187">
        <f>IFERROR('Ενεργές συνδέσεις'!M19/'Ανάπτυξη δικτύου'!M40,0)</f>
        <v>0</v>
      </c>
      <c r="J155" s="191">
        <f t="shared" si="197"/>
        <v>0</v>
      </c>
      <c r="K155" s="187">
        <f>IFERROR('Ενεργές συνδέσεις'!S19/'Ανάπτυξη δικτύου'!S40,0)</f>
        <v>0</v>
      </c>
      <c r="L155" s="191">
        <f t="shared" si="198"/>
        <v>0</v>
      </c>
      <c r="M155" s="237">
        <f t="shared" si="194"/>
        <v>0</v>
      </c>
      <c r="O155" s="188">
        <f>IFERROR('Ενεργές συνδέσεις'!AA16/'Ανάπτυξη δικτύου'!Y40,0)</f>
        <v>2.5891331290371914E-2</v>
      </c>
      <c r="P155" s="191">
        <f t="shared" si="199"/>
        <v>0</v>
      </c>
      <c r="Q155" s="187">
        <f>IFERROR('Ενεργές συνδέσεις'!AF19/'Ανάπτυξη δικτύου'!AB40,0)</f>
        <v>7.2084243088594999E-2</v>
      </c>
      <c r="R155" s="191">
        <f t="shared" si="200"/>
        <v>1.7841072473318753</v>
      </c>
      <c r="S155" s="187">
        <f>IFERROR('Ενεργές συνδέσεις'!AK19/'Ανάπτυξη δικτύου'!AE40,0)</f>
        <v>9.330916417626367E-2</v>
      </c>
      <c r="T155" s="191">
        <f t="shared" si="201"/>
        <v>0.29444605614547725</v>
      </c>
      <c r="U155" s="187">
        <f>IFERROR('Ενεργές συνδέσεις'!AP19/'Ανάπτυξη δικτύου'!AH40,0)</f>
        <v>9.387909374955021E-2</v>
      </c>
      <c r="V155" s="191">
        <f t="shared" si="202"/>
        <v>6.1079699761314634E-3</v>
      </c>
      <c r="W155" s="187">
        <f>IFERROR('Ενεργές συνδέσεις'!AU19/'Ανάπτυξη δικτύου'!AK40,0)</f>
        <v>9.1810122091266558E-2</v>
      </c>
      <c r="X155" s="191">
        <f t="shared" si="203"/>
        <v>-2.2038683754268405E-2</v>
      </c>
      <c r="Y155" s="237">
        <f t="shared" si="204"/>
        <v>0.37225254783179418</v>
      </c>
    </row>
    <row r="156" spans="2:33" ht="15" customHeight="1" outlineLevel="1" x14ac:dyDescent="0.25">
      <c r="B156" s="52" t="s">
        <v>286</v>
      </c>
      <c r="C156" s="53" t="s">
        <v>57</v>
      </c>
      <c r="D156" s="226">
        <f>IFERROR('Ενεργές συνδέσεις'!E20/'Ανάπτυξη δικτύου'!E46,0)</f>
        <v>0</v>
      </c>
      <c r="E156" s="187">
        <f>IFERROR('Ενεργές συνδέσεις'!G20/'Ανάπτυξη δικτύου'!G46,0)</f>
        <v>0</v>
      </c>
      <c r="F156" s="191">
        <f t="shared" si="195"/>
        <v>0</v>
      </c>
      <c r="G156" s="187">
        <f>IFERROR('Ενεργές συνδέσεις'!J20/'Ανάπτυξη δικτύου'!J46,0)</f>
        <v>0</v>
      </c>
      <c r="H156" s="191">
        <f t="shared" si="196"/>
        <v>0</v>
      </c>
      <c r="I156" s="187">
        <f>IFERROR('Ενεργές συνδέσεις'!M20/'Ανάπτυξη δικτύου'!M46,0)</f>
        <v>0</v>
      </c>
      <c r="J156" s="191">
        <f t="shared" si="197"/>
        <v>0</v>
      </c>
      <c r="K156" s="187">
        <f>IFERROR('Ενεργές συνδέσεις'!S20/'Ανάπτυξη δικτύου'!S46,0)</f>
        <v>0</v>
      </c>
      <c r="L156" s="191">
        <f t="shared" si="198"/>
        <v>0</v>
      </c>
      <c r="M156" s="237">
        <f t="shared" si="194"/>
        <v>0</v>
      </c>
      <c r="O156" s="188">
        <f>IFERROR('Ενεργές συνδέσεις'!AA17/'Ανάπτυξη δικτύου'!Y41,0)</f>
        <v>1.131111111111111E-2</v>
      </c>
      <c r="P156" s="191">
        <f t="shared" si="199"/>
        <v>0</v>
      </c>
      <c r="Q156" s="187">
        <f>IFERROR('Ενεργές συνδέσεις'!AF20/'Ανάπτυξη δικτύου'!AB46,0)</f>
        <v>0.11024213748956303</v>
      </c>
      <c r="R156" s="191">
        <f t="shared" si="200"/>
        <v>8.7463579312973216</v>
      </c>
      <c r="S156" s="187">
        <f>IFERROR('Ενεργές συνδέσεις'!AK20/'Ανάπτυξη δικτύου'!AE46,0)</f>
        <v>0.17013637628722517</v>
      </c>
      <c r="T156" s="191">
        <f t="shared" si="201"/>
        <v>0.5432971471850544</v>
      </c>
      <c r="U156" s="187">
        <f>IFERROR('Ενεργές συνδέσεις'!AP20/'Ανάπτυξη δικτύου'!AH46,0)</f>
        <v>0.22922349011967716</v>
      </c>
      <c r="V156" s="191">
        <f t="shared" si="202"/>
        <v>0.34729265499754619</v>
      </c>
      <c r="W156" s="187">
        <f>IFERROR('Ενεργές συνδέσεις'!AU20/'Ανάπτυξη δικτύου'!AK46,0)</f>
        <v>0.25905928193709993</v>
      </c>
      <c r="X156" s="191">
        <f t="shared" si="203"/>
        <v>0.13016027197668772</v>
      </c>
      <c r="Y156" s="237">
        <f t="shared" si="204"/>
        <v>1.1876279941058416</v>
      </c>
    </row>
    <row r="157" spans="2:33" outlineLevel="1" x14ac:dyDescent="0.25">
      <c r="B157" s="52" t="s">
        <v>287</v>
      </c>
      <c r="C157" s="53" t="s">
        <v>57</v>
      </c>
      <c r="D157" s="226">
        <f>IFERROR('Ενεργές συνδέσεις'!E18/'Ανάπτυξη δικτύου'!E42,0)</f>
        <v>0</v>
      </c>
      <c r="E157" s="187">
        <f>IFERROR('Ενεργές συνδέσεις'!G18/'Ανάπτυξη δικτύου'!G42,0)</f>
        <v>0</v>
      </c>
      <c r="F157" s="191">
        <f>IFERROR((E157-D157)/D157,0)</f>
        <v>0</v>
      </c>
      <c r="G157" s="187">
        <f>IFERROR('Ενεργές συνδέσεις'!J18/'Ανάπτυξη δικτύου'!J42,0)</f>
        <v>0</v>
      </c>
      <c r="H157" s="191">
        <f>IFERROR((G157-E157)/E157,0)</f>
        <v>0</v>
      </c>
      <c r="I157" s="187">
        <f>IFERROR('Ενεργές συνδέσεις'!M18/'Ανάπτυξη δικτύου'!M42,0)</f>
        <v>0</v>
      </c>
      <c r="J157" s="191">
        <f>IFERROR((I157-G157)/G157,0)</f>
        <v>0</v>
      </c>
      <c r="K157" s="187">
        <f>IFERROR('Ενεργές συνδέσεις'!S18/'Ανάπτυξη δικτύου'!S42,0)</f>
        <v>0</v>
      </c>
      <c r="L157" s="191">
        <f>IFERROR((K157-I157)/I157,0)</f>
        <v>0</v>
      </c>
      <c r="M157" s="237">
        <f t="shared" ref="M157:M160" si="205">IFERROR((K157/D157)^(1/4)-1,0)</f>
        <v>0</v>
      </c>
      <c r="N157" s="55"/>
      <c r="O157" s="188">
        <f>IFERROR('Ενεργές συνδέσεις'!AA18/'Ανάπτυξη δικτύου'!Y42,0)</f>
        <v>0</v>
      </c>
      <c r="P157" s="191">
        <f>IFERROR((O157-K157)/K157,0)</f>
        <v>0</v>
      </c>
      <c r="Q157" s="187">
        <f>IFERROR('Ενεργές συνδέσεις'!AF18/'Ανάπτυξη δικτύου'!AB42,0)</f>
        <v>3.9021276595744683E-2</v>
      </c>
      <c r="R157" s="191">
        <f>IFERROR((Q157-O157)/O157,0)</f>
        <v>0</v>
      </c>
      <c r="S157" s="187">
        <f>IFERROR('Ενεργές συνδέσεις'!AK18/'Ανάπτυξη δικτύου'!AE42,0)</f>
        <v>6.9204081632653056E-2</v>
      </c>
      <c r="T157" s="191">
        <f>IFERROR((S157-Q157)/Q157,0)</f>
        <v>0.77349609418467469</v>
      </c>
      <c r="U157" s="187">
        <f>IFERROR('Ενεργές συνδέσεις'!AP18/'Ανάπτυξη δικτύου'!AH42,0)</f>
        <v>9.3647058823529417E-2</v>
      </c>
      <c r="V157" s="191">
        <f>IFERROR((U157-S157)/S157,0)</f>
        <v>0.35320138081773572</v>
      </c>
      <c r="W157" s="187">
        <f>IFERROR('Ενεργές συνδέσεις'!AU18/'Ανάπτυξη δικτύου'!AK42,0)</f>
        <v>0.10333962264150943</v>
      </c>
      <c r="X157" s="191">
        <f>IFERROR((W157-U157)/U157,0)</f>
        <v>0.10350099554375647</v>
      </c>
      <c r="Y157" s="237">
        <f>IFERROR((W157/O157)^(1/4)-1,0)</f>
        <v>0</v>
      </c>
    </row>
    <row r="158" spans="2:33" outlineLevel="1" x14ac:dyDescent="0.25">
      <c r="B158" s="52" t="s">
        <v>288</v>
      </c>
      <c r="C158" s="53" t="s">
        <v>57</v>
      </c>
      <c r="D158" s="226">
        <f>IFERROR('Ενεργές συνδέσεις'!E21/'Ανάπτυξη δικτύου'!E43,0)</f>
        <v>0</v>
      </c>
      <c r="E158" s="187">
        <f>IFERROR('Ενεργές συνδέσεις'!G21/'Ανάπτυξη δικτύου'!G43,0)</f>
        <v>0</v>
      </c>
      <c r="F158" s="191">
        <f t="shared" ref="F158:F160" si="206">IFERROR((E158-D158)/D158,0)</f>
        <v>0</v>
      </c>
      <c r="G158" s="187">
        <f>IFERROR('Ενεργές συνδέσεις'!J21/'Ανάπτυξη δικτύου'!J43,0)</f>
        <v>0</v>
      </c>
      <c r="H158" s="191">
        <f t="shared" ref="H158:H160" si="207">IFERROR((G158-E158)/E158,0)</f>
        <v>0</v>
      </c>
      <c r="I158" s="187">
        <f>IFERROR('Ενεργές συνδέσεις'!M21/'Ανάπτυξη δικτύου'!M43,0)</f>
        <v>0</v>
      </c>
      <c r="J158" s="191">
        <f t="shared" ref="J158:J160" si="208">IFERROR((I158-G158)/G158,0)</f>
        <v>0</v>
      </c>
      <c r="K158" s="187">
        <f>IFERROR('Ενεργές συνδέσεις'!S21/'Ανάπτυξη δικτύου'!S43,0)</f>
        <v>0</v>
      </c>
      <c r="L158" s="191">
        <f t="shared" ref="L158:L160" si="209">IFERROR((K158-I158)/I158,0)</f>
        <v>0</v>
      </c>
      <c r="M158" s="237">
        <f t="shared" si="205"/>
        <v>0</v>
      </c>
      <c r="N158" s="55"/>
      <c r="O158" s="188">
        <f>IFERROR('Ενεργές συνδέσεις'!AA19/'Ανάπτυξη δικτύου'!Y43,0)</f>
        <v>2.6555555555555554E-2</v>
      </c>
      <c r="P158" s="191">
        <f t="shared" ref="P158:P160" si="210">IFERROR((O158-K158)/K158,0)</f>
        <v>0</v>
      </c>
      <c r="Q158" s="187">
        <f>IFERROR('Ενεργές συνδέσεις'!AF21/'Ανάπτυξη δικτύου'!AB43,0)</f>
        <v>0.1903</v>
      </c>
      <c r="R158" s="191">
        <f t="shared" ref="R158:R160" si="211">IFERROR((Q158-O158)/O158,0)</f>
        <v>6.166108786610879</v>
      </c>
      <c r="S158" s="187">
        <f>IFERROR('Ενεργές συνδέσεις'!AK21/'Ανάπτυξη δικτύου'!AE43,0)</f>
        <v>0.26291666666666669</v>
      </c>
      <c r="T158" s="191">
        <f t="shared" ref="T158:T160" si="212">IFERROR((S158-Q158)/Q158,0)</f>
        <v>0.38159047118584705</v>
      </c>
      <c r="U158" s="187">
        <f>IFERROR('Ενεργές συνδέσεις'!AP21/'Ανάπτυξη δικτύου'!AH43,0)</f>
        <v>0.32442307692307693</v>
      </c>
      <c r="V158" s="191">
        <f t="shared" ref="V158:V160" si="213">IFERROR((U158-S158)/S158,0)</f>
        <v>0.23393880287699614</v>
      </c>
      <c r="W158" s="187">
        <f>IFERROR('Ενεργές συνδέσεις'!AU21/'Ανάπτυξη δικτύου'!AK43,0)</f>
        <v>0.33953571428571427</v>
      </c>
      <c r="X158" s="191">
        <f t="shared" ref="X158:X160" si="214">IFERROR((W158-U158)/U158,0)</f>
        <v>4.6583114573630242E-2</v>
      </c>
      <c r="Y158" s="237">
        <f t="shared" ref="Y158:Y160" si="215">IFERROR((W158/O158)^(1/4)-1,0)</f>
        <v>0.89096076446560413</v>
      </c>
    </row>
    <row r="159" spans="2:33" outlineLevel="1" x14ac:dyDescent="0.25">
      <c r="B159" s="52" t="s">
        <v>289</v>
      </c>
      <c r="C159" s="53" t="s">
        <v>57</v>
      </c>
      <c r="D159" s="226">
        <f>IFERROR('Ενεργές συνδέσεις'!E29/'Ανάπτυξη δικτύου'!E44,0)</f>
        <v>0</v>
      </c>
      <c r="E159" s="187">
        <f>IFERROR('Ενεργές συνδέσεις'!G29/'Ανάπτυξη δικτύου'!G44,0)</f>
        <v>0</v>
      </c>
      <c r="F159" s="191">
        <f t="shared" si="206"/>
        <v>0</v>
      </c>
      <c r="G159" s="187">
        <f>IFERROR('Ενεργές συνδέσεις'!J29/'Ανάπτυξη δικτύου'!J44,0)</f>
        <v>0</v>
      </c>
      <c r="H159" s="191">
        <f t="shared" si="207"/>
        <v>0</v>
      </c>
      <c r="I159" s="187">
        <f>IFERROR('Ενεργές συνδέσεις'!M29/'Ανάπτυξη δικτύου'!M44,0)</f>
        <v>0</v>
      </c>
      <c r="J159" s="191">
        <f t="shared" si="208"/>
        <v>0</v>
      </c>
      <c r="K159" s="187">
        <f>IFERROR('Ενεργές συνδέσεις'!S29/'Ανάπτυξη δικτύου'!S44,0)</f>
        <v>0</v>
      </c>
      <c r="L159" s="191">
        <f t="shared" si="209"/>
        <v>0</v>
      </c>
      <c r="M159" s="237">
        <f t="shared" si="205"/>
        <v>0</v>
      </c>
      <c r="O159" s="188">
        <f>IFERROR('Ενεργές συνδέσεις'!AA20/'Ανάπτυξη δικτύου'!Y44,0)</f>
        <v>1.5883558796404695E-2</v>
      </c>
      <c r="P159" s="191">
        <f t="shared" si="210"/>
        <v>0</v>
      </c>
      <c r="Q159" s="187">
        <f>IFERROR('Ενεργές συνδέσεις'!AF29/'Ανάπτυξη δικτύου'!AB44,0)</f>
        <v>0</v>
      </c>
      <c r="R159" s="191">
        <f t="shared" si="211"/>
        <v>-1</v>
      </c>
      <c r="S159" s="187">
        <f>IFERROR('Ενεργές συνδέσεις'!AK29/'Ανάπτυξη δικτύου'!AE44,0)</f>
        <v>0</v>
      </c>
      <c r="T159" s="191">
        <f t="shared" si="212"/>
        <v>0</v>
      </c>
      <c r="U159" s="187">
        <f>IFERROR('Ενεργές συνδέσεις'!AP29/'Ανάπτυξη δικτύου'!AH44,0)</f>
        <v>0</v>
      </c>
      <c r="V159" s="191">
        <f t="shared" si="213"/>
        <v>0</v>
      </c>
      <c r="W159" s="187">
        <f>IFERROR('Ενεργές συνδέσεις'!AU29/'Ανάπτυξη δικτύου'!AK44,0)</f>
        <v>0</v>
      </c>
      <c r="X159" s="191">
        <f t="shared" si="214"/>
        <v>0</v>
      </c>
      <c r="Y159" s="237">
        <f t="shared" si="215"/>
        <v>-1</v>
      </c>
    </row>
    <row r="160" spans="2:33" ht="15" customHeight="1" outlineLevel="1" x14ac:dyDescent="0.25">
      <c r="B160" s="52" t="s">
        <v>290</v>
      </c>
      <c r="C160" s="53" t="s">
        <v>57</v>
      </c>
      <c r="D160" s="226">
        <f>IFERROR('Ενεργές συνδέσεις'!E30/'Ανάπτυξη δικτύου'!E56,0)</f>
        <v>0</v>
      </c>
      <c r="E160" s="187">
        <f>IFERROR('Ενεργές συνδέσεις'!G30/'Ανάπτυξη δικτύου'!G56,0)</f>
        <v>0</v>
      </c>
      <c r="F160" s="191">
        <f t="shared" si="206"/>
        <v>0</v>
      </c>
      <c r="G160" s="187">
        <f>IFERROR('Ενεργές συνδέσεις'!J30/'Ανάπτυξη δικτύου'!J56,0)</f>
        <v>0</v>
      </c>
      <c r="H160" s="191">
        <f t="shared" si="207"/>
        <v>0</v>
      </c>
      <c r="I160" s="187">
        <f>IFERROR('Ενεργές συνδέσεις'!M30/'Ανάπτυξη δικτύου'!M56,0)</f>
        <v>0</v>
      </c>
      <c r="J160" s="191">
        <f t="shared" si="208"/>
        <v>0</v>
      </c>
      <c r="K160" s="187">
        <f>IFERROR('Ενεργές συνδέσεις'!S30/'Ανάπτυξη δικτύου'!S56,0)</f>
        <v>0</v>
      </c>
      <c r="L160" s="191">
        <f t="shared" si="209"/>
        <v>0</v>
      </c>
      <c r="M160" s="237">
        <f t="shared" si="205"/>
        <v>0</v>
      </c>
      <c r="O160" s="188">
        <f>IFERROR('Ενεργές συνδέσεις'!AA21/'Ανάπτυξη δικτύου'!Y45,0)</f>
        <v>1.7840000000000002E-2</v>
      </c>
      <c r="P160" s="191">
        <f t="shared" si="210"/>
        <v>0</v>
      </c>
      <c r="Q160" s="187">
        <f>IFERROR('Ενεργές συνδέσεις'!AF30/'Ανάπτυξη δικτύου'!AB56,0)</f>
        <v>0</v>
      </c>
      <c r="R160" s="191">
        <f t="shared" si="211"/>
        <v>-1</v>
      </c>
      <c r="S160" s="187">
        <f>IFERROR('Ενεργές συνδέσεις'!AK30/'Ανάπτυξη δικτύου'!AE56,0)</f>
        <v>0</v>
      </c>
      <c r="T160" s="191">
        <f t="shared" si="212"/>
        <v>0</v>
      </c>
      <c r="U160" s="187">
        <f>IFERROR('Ενεργές συνδέσεις'!AP30/'Ανάπτυξη δικτύου'!AH56,0)</f>
        <v>0</v>
      </c>
      <c r="V160" s="191">
        <f t="shared" si="213"/>
        <v>0</v>
      </c>
      <c r="W160" s="187">
        <f>IFERROR('Ενεργές συνδέσεις'!AU30/'Ανάπτυξη δικτύου'!AK56,0)</f>
        <v>0</v>
      </c>
      <c r="X160" s="191">
        <f t="shared" si="214"/>
        <v>0</v>
      </c>
      <c r="Y160" s="237">
        <f t="shared" si="215"/>
        <v>-1</v>
      </c>
    </row>
    <row r="161" spans="2:25" ht="15" customHeight="1" outlineLevel="1" x14ac:dyDescent="0.25">
      <c r="B161" s="52" t="s">
        <v>291</v>
      </c>
      <c r="C161" s="53" t="s">
        <v>57</v>
      </c>
      <c r="D161" s="226">
        <f>IFERROR('Ενεργές συνδέσεις'!E31/'Ανάπτυξη δικτύου'!E57,0)</f>
        <v>0</v>
      </c>
      <c r="E161" s="187">
        <f>IFERROR('Ενεργές συνδέσεις'!G31/'Ανάπτυξη δικτύου'!G57,0)</f>
        <v>0</v>
      </c>
      <c r="F161" s="191">
        <f t="shared" ref="F161:F167" si="216">IFERROR((E161-D161)/D161,0)</f>
        <v>0</v>
      </c>
      <c r="G161" s="187">
        <f>IFERROR('Ενεργές συνδέσεις'!J31/'Ανάπτυξη δικτύου'!J57,0)</f>
        <v>0</v>
      </c>
      <c r="H161" s="191">
        <f t="shared" ref="H161:H167" si="217">IFERROR((G161-E161)/E161,0)</f>
        <v>0</v>
      </c>
      <c r="I161" s="187">
        <f>IFERROR('Ενεργές συνδέσεις'!M31/'Ανάπτυξη δικτύου'!M57,0)</f>
        <v>0</v>
      </c>
      <c r="J161" s="191">
        <f t="shared" ref="J161:J167" si="218">IFERROR((I161-G161)/G161,0)</f>
        <v>0</v>
      </c>
      <c r="K161" s="187">
        <f>IFERROR('Ενεργές συνδέσεις'!S31/'Ανάπτυξη δικτύου'!S57,0)</f>
        <v>0</v>
      </c>
      <c r="L161" s="191">
        <f t="shared" ref="L161:L167" si="219">IFERROR((K161-I161)/I161,0)</f>
        <v>0</v>
      </c>
      <c r="M161" s="237">
        <f t="shared" ref="M161:M167" si="220">IFERROR((K161/D161)^(1/4)-1,0)</f>
        <v>0</v>
      </c>
      <c r="O161" s="188">
        <f>IFERROR('Ενεργές συνδέσεις'!AA22/'Ανάπτυξη δικτύου'!Y46,0)</f>
        <v>7.7317005288060112E-2</v>
      </c>
      <c r="P161" s="191">
        <f>IFERROR((O161-K161)/K161,0)</f>
        <v>0</v>
      </c>
      <c r="Q161" s="187">
        <f>IFERROR('Ενεργές συνδέσεις'!AF31/'Ανάπτυξη δικτύου'!AB57,0)</f>
        <v>0</v>
      </c>
      <c r="R161" s="191">
        <f>IFERROR((Q161-O161)/O161,0)</f>
        <v>-1</v>
      </c>
      <c r="S161" s="187">
        <f>IFERROR('Ενεργές συνδέσεις'!AK31/'Ανάπτυξη δικτύου'!AE57,0)</f>
        <v>0</v>
      </c>
      <c r="T161" s="191">
        <f t="shared" ref="T161" si="221">IFERROR((S161-Q161)/Q161,0)</f>
        <v>0</v>
      </c>
      <c r="U161" s="187">
        <f>IFERROR('Ενεργές συνδέσεις'!AP31/'Ανάπτυξη δικτύου'!AH57,0)</f>
        <v>0</v>
      </c>
      <c r="V161" s="191">
        <f t="shared" ref="V161" si="222">IFERROR((U161-S161)/S161,0)</f>
        <v>0</v>
      </c>
      <c r="W161" s="187">
        <f>IFERROR('Ενεργές συνδέσεις'!AU31/'Ανάπτυξη δικτύου'!AK57,0)</f>
        <v>0</v>
      </c>
      <c r="X161" s="191">
        <f t="shared" ref="X161" si="223">IFERROR((W161-U161)/U161,0)</f>
        <v>0</v>
      </c>
      <c r="Y161" s="237">
        <f>IFERROR((W161/O161)^(1/4)-1,0)</f>
        <v>-1</v>
      </c>
    </row>
    <row r="162" spans="2:25" ht="15" customHeight="1" outlineLevel="1" x14ac:dyDescent="0.25">
      <c r="B162" s="52" t="s">
        <v>307</v>
      </c>
      <c r="C162" s="53" t="s">
        <v>57</v>
      </c>
      <c r="D162" s="226">
        <f>IFERROR('Ενεργές συνδέσεις'!E32/'Ανάπτυξη δικτύου'!E58,0)</f>
        <v>0</v>
      </c>
      <c r="E162" s="187">
        <f>IFERROR('Ενεργές συνδέσεις'!G32/'Ανάπτυξη δικτύου'!G58,0)</f>
        <v>0</v>
      </c>
      <c r="F162" s="191">
        <f t="shared" si="216"/>
        <v>0</v>
      </c>
      <c r="G162" s="187">
        <f>IFERROR('Ενεργές συνδέσεις'!J32/'Ανάπτυξη δικτύου'!J58,0)</f>
        <v>0</v>
      </c>
      <c r="H162" s="191">
        <f t="shared" si="217"/>
        <v>0</v>
      </c>
      <c r="I162" s="187">
        <f>IFERROR('Ενεργές συνδέσεις'!M32/'Ανάπτυξη δικτύου'!M58,0)</f>
        <v>0</v>
      </c>
      <c r="J162" s="191">
        <f t="shared" si="218"/>
        <v>0</v>
      </c>
      <c r="K162" s="187">
        <f>IFERROR('Ενεργές συνδέσεις'!S32/'Ανάπτυξη δικτύου'!S58,0)</f>
        <v>0</v>
      </c>
      <c r="L162" s="191">
        <f t="shared" si="219"/>
        <v>0</v>
      </c>
      <c r="M162" s="237">
        <f t="shared" si="220"/>
        <v>0</v>
      </c>
      <c r="O162" s="188">
        <f>IFERROR('Ενεργές συνδέσεις'!AA23/'Ανάπτυξη δικτύου'!Y47,0)</f>
        <v>2.181818181818182E-2</v>
      </c>
      <c r="P162" s="191"/>
      <c r="Q162" s="187">
        <f>IFERROR('Ενεργές συνδέσεις'!AF32/'Ανάπτυξη δικτύου'!AB58,0)</f>
        <v>0</v>
      </c>
      <c r="R162" s="191"/>
      <c r="S162" s="187">
        <f>IFERROR('Ενεργές συνδέσεις'!AK32/'Ανάπτυξη δικτύου'!AE58,0)</f>
        <v>0</v>
      </c>
      <c r="T162" s="191"/>
      <c r="U162" s="187">
        <f>IFERROR('Ενεργές συνδέσεις'!AP32/'Ανάπτυξη δικτύου'!AH58,0)</f>
        <v>0</v>
      </c>
      <c r="V162" s="191"/>
      <c r="W162" s="187">
        <f>IFERROR('Ενεργές συνδέσεις'!AU32/'Ανάπτυξη δικτύου'!AK58,0)</f>
        <v>0</v>
      </c>
      <c r="X162" s="191"/>
      <c r="Y162" s="237"/>
    </row>
    <row r="163" spans="2:25" ht="15" customHeight="1" outlineLevel="1" x14ac:dyDescent="0.25">
      <c r="B163" s="52" t="s">
        <v>304</v>
      </c>
      <c r="C163" s="53" t="s">
        <v>57</v>
      </c>
      <c r="D163" s="226">
        <f>IFERROR('Ενεργές συνδέσεις'!E33/'Ανάπτυξη δικτύου'!E59,0)</f>
        <v>0</v>
      </c>
      <c r="E163" s="187">
        <f>IFERROR('Ενεργές συνδέσεις'!G33/'Ανάπτυξη δικτύου'!G59,0)</f>
        <v>0</v>
      </c>
      <c r="F163" s="191">
        <f t="shared" si="216"/>
        <v>0</v>
      </c>
      <c r="G163" s="187">
        <f>IFERROR('Ενεργές συνδέσεις'!J33/'Ανάπτυξη δικτύου'!J59,0)</f>
        <v>0</v>
      </c>
      <c r="H163" s="191">
        <f t="shared" si="217"/>
        <v>0</v>
      </c>
      <c r="I163" s="187">
        <f>IFERROR('Ενεργές συνδέσεις'!M33/'Ανάπτυξη δικτύου'!M59,0)</f>
        <v>0</v>
      </c>
      <c r="J163" s="191">
        <f t="shared" si="218"/>
        <v>0</v>
      </c>
      <c r="K163" s="187">
        <f>IFERROR('Ενεργές συνδέσεις'!S33/'Ανάπτυξη δικτύου'!S59,0)</f>
        <v>0</v>
      </c>
      <c r="L163" s="191">
        <f t="shared" si="219"/>
        <v>0</v>
      </c>
      <c r="M163" s="237">
        <f t="shared" si="220"/>
        <v>0</v>
      </c>
      <c r="O163" s="188">
        <f>IFERROR('Ενεργές συνδέσεις'!AA24/'Ανάπτυξη δικτύου'!Y48,0)</f>
        <v>2.1000000000000001E-2</v>
      </c>
      <c r="P163" s="191"/>
      <c r="Q163" s="187">
        <f>IFERROR('Ενεργές συνδέσεις'!AF33/'Ανάπτυξη δικτύου'!AB59,0)</f>
        <v>0</v>
      </c>
      <c r="R163" s="191"/>
      <c r="S163" s="187">
        <f>IFERROR('Ενεργές συνδέσεις'!AK33/'Ανάπτυξη δικτύου'!AE59,0)</f>
        <v>0</v>
      </c>
      <c r="T163" s="191"/>
      <c r="U163" s="187">
        <f>IFERROR('Ενεργές συνδέσεις'!AP33/'Ανάπτυξη δικτύου'!AH59,0)</f>
        <v>0</v>
      </c>
      <c r="V163" s="191"/>
      <c r="W163" s="187">
        <f>IFERROR('Ενεργές συνδέσεις'!AU33/'Ανάπτυξη δικτύου'!AK59,0)</f>
        <v>0</v>
      </c>
      <c r="X163" s="191"/>
      <c r="Y163" s="237"/>
    </row>
    <row r="164" spans="2:25" ht="15" customHeight="1" outlineLevel="1" x14ac:dyDescent="0.25">
      <c r="B164" s="52" t="s">
        <v>305</v>
      </c>
      <c r="C164" s="53" t="s">
        <v>57</v>
      </c>
      <c r="D164" s="226">
        <f>IFERROR('Ενεργές συνδέσεις'!E34/'Ανάπτυξη δικτύου'!E60,0)</f>
        <v>0</v>
      </c>
      <c r="E164" s="187">
        <f>IFERROR('Ενεργές συνδέσεις'!G34/'Ανάπτυξη δικτύου'!G60,0)</f>
        <v>0</v>
      </c>
      <c r="F164" s="191">
        <f t="shared" si="216"/>
        <v>0</v>
      </c>
      <c r="G164" s="187">
        <f>IFERROR('Ενεργές συνδέσεις'!J34/'Ανάπτυξη δικτύου'!J60,0)</f>
        <v>0</v>
      </c>
      <c r="H164" s="191">
        <f t="shared" si="217"/>
        <v>0</v>
      </c>
      <c r="I164" s="187">
        <f>IFERROR('Ενεργές συνδέσεις'!M34/'Ανάπτυξη δικτύου'!M60,0)</f>
        <v>0</v>
      </c>
      <c r="J164" s="191">
        <f t="shared" si="218"/>
        <v>0</v>
      </c>
      <c r="K164" s="187">
        <f>IFERROR('Ενεργές συνδέσεις'!S34/'Ανάπτυξη δικτύου'!S60,0)</f>
        <v>0</v>
      </c>
      <c r="L164" s="191">
        <f t="shared" si="219"/>
        <v>0</v>
      </c>
      <c r="M164" s="237">
        <f t="shared" si="220"/>
        <v>0</v>
      </c>
      <c r="O164" s="188">
        <f>IFERROR('Ενεργές συνδέσεις'!AA25/'Ανάπτυξη δικτύου'!Y49,0)</f>
        <v>1.7428571428571429E-2</v>
      </c>
      <c r="P164" s="191"/>
      <c r="Q164" s="187">
        <f>IFERROR('Ενεργές συνδέσεις'!AF34/'Ανάπτυξη δικτύου'!AB60,0)</f>
        <v>0</v>
      </c>
      <c r="R164" s="191"/>
      <c r="S164" s="187">
        <f>IFERROR('Ενεργές συνδέσεις'!AK34/'Ανάπτυξη δικτύου'!AE60,0)</f>
        <v>0</v>
      </c>
      <c r="T164" s="191"/>
      <c r="U164" s="187">
        <f>IFERROR('Ενεργές συνδέσεις'!AP34/'Ανάπτυξη δικτύου'!AH60,0)</f>
        <v>0</v>
      </c>
      <c r="V164" s="191"/>
      <c r="W164" s="187">
        <f>IFERROR('Ενεργές συνδέσεις'!AU34/'Ανάπτυξη δικτύου'!AK60,0)</f>
        <v>0</v>
      </c>
      <c r="X164" s="191"/>
      <c r="Y164" s="237"/>
    </row>
    <row r="165" spans="2:25" ht="15" customHeight="1" outlineLevel="1" x14ac:dyDescent="0.25">
      <c r="B165" s="52" t="s">
        <v>306</v>
      </c>
      <c r="C165" s="53" t="s">
        <v>57</v>
      </c>
      <c r="D165" s="226">
        <f>IFERROR('Ενεργές συνδέσεις'!E35/'Ανάπτυξη δικτύου'!E61,0)</f>
        <v>0</v>
      </c>
      <c r="E165" s="187">
        <f>IFERROR('Ενεργές συνδέσεις'!G35/'Ανάπτυξη δικτύου'!G61,0)</f>
        <v>0</v>
      </c>
      <c r="F165" s="191">
        <f t="shared" si="216"/>
        <v>0</v>
      </c>
      <c r="G165" s="187">
        <f>IFERROR('Ενεργές συνδέσεις'!J35/'Ανάπτυξη δικτύου'!J61,0)</f>
        <v>0</v>
      </c>
      <c r="H165" s="191">
        <f t="shared" si="217"/>
        <v>0</v>
      </c>
      <c r="I165" s="187">
        <f>IFERROR('Ενεργές συνδέσεις'!M35/'Ανάπτυξη δικτύου'!M61,0)</f>
        <v>0</v>
      </c>
      <c r="J165" s="191">
        <f t="shared" si="218"/>
        <v>0</v>
      </c>
      <c r="K165" s="187">
        <f>IFERROR('Ενεργές συνδέσεις'!S35/'Ανάπτυξη δικτύου'!S61,0)</f>
        <v>0</v>
      </c>
      <c r="L165" s="191">
        <f t="shared" si="219"/>
        <v>0</v>
      </c>
      <c r="M165" s="237">
        <f t="shared" si="220"/>
        <v>0</v>
      </c>
      <c r="O165" s="188">
        <f>IFERROR('Ενεργές συνδέσεις'!AA26/'Ανάπτυξη δικτύου'!Y50,0)</f>
        <v>8.6333333333333331E-2</v>
      </c>
      <c r="P165" s="191"/>
      <c r="Q165" s="187">
        <f>IFERROR('Ενεργές συνδέσεις'!AF35/'Ανάπτυξη δικτύου'!AB61,0)</f>
        <v>0</v>
      </c>
      <c r="R165" s="191"/>
      <c r="S165" s="187">
        <f>IFERROR('Ενεργές συνδέσεις'!AK35/'Ανάπτυξη δικτύου'!AE61,0)</f>
        <v>0</v>
      </c>
      <c r="T165" s="191"/>
      <c r="U165" s="187">
        <f>IFERROR('Ενεργές συνδέσεις'!AP35/'Ανάπτυξη δικτύου'!AH61,0)</f>
        <v>0</v>
      </c>
      <c r="V165" s="191"/>
      <c r="W165" s="187">
        <f>IFERROR('Ενεργές συνδέσεις'!AU35/'Ανάπτυξη δικτύου'!AK61,0)</f>
        <v>0</v>
      </c>
      <c r="X165" s="191"/>
      <c r="Y165" s="237"/>
    </row>
    <row r="166" spans="2:25" ht="15" customHeight="1" outlineLevel="1" x14ac:dyDescent="0.25">
      <c r="B166" s="52" t="s">
        <v>308</v>
      </c>
      <c r="C166" s="53" t="s">
        <v>57</v>
      </c>
      <c r="D166" s="226">
        <f>IFERROR('Ενεργές συνδέσεις'!E36/'Ανάπτυξη δικτύου'!E62,0)</f>
        <v>0</v>
      </c>
      <c r="E166" s="187">
        <f>IFERROR('Ενεργές συνδέσεις'!G36/'Ανάπτυξη δικτύου'!G62,0)</f>
        <v>0</v>
      </c>
      <c r="F166" s="191">
        <f t="shared" si="216"/>
        <v>0</v>
      </c>
      <c r="G166" s="187">
        <f>IFERROR('Ενεργές συνδέσεις'!J36/'Ανάπτυξη δικτύου'!J62,0)</f>
        <v>0</v>
      </c>
      <c r="H166" s="191">
        <f t="shared" si="217"/>
        <v>0</v>
      </c>
      <c r="I166" s="187">
        <f>IFERROR('Ενεργές συνδέσεις'!M36/'Ανάπτυξη δικτύου'!M62,0)</f>
        <v>0</v>
      </c>
      <c r="J166" s="191">
        <f t="shared" si="218"/>
        <v>0</v>
      </c>
      <c r="K166" s="187">
        <f>IFERROR('Ενεργές συνδέσεις'!S36/'Ανάπτυξη δικτύου'!S62,0)</f>
        <v>0</v>
      </c>
      <c r="L166" s="191">
        <f t="shared" si="219"/>
        <v>0</v>
      </c>
      <c r="M166" s="237">
        <f t="shared" si="220"/>
        <v>0</v>
      </c>
      <c r="O166" s="188">
        <f>IFERROR('Ενεργές συνδέσεις'!AA27/'Ανάπτυξη δικτύου'!Y51,0)</f>
        <v>6.9000000000000006E-2</v>
      </c>
      <c r="P166" s="191"/>
      <c r="Q166" s="187">
        <f>IFERROR('Ενεργές συνδέσεις'!AF36/'Ανάπτυξη δικτύου'!AB62,0)</f>
        <v>0</v>
      </c>
      <c r="R166" s="191"/>
      <c r="S166" s="187">
        <f>IFERROR('Ενεργές συνδέσεις'!AK36/'Ανάπτυξη δικτύου'!AE62,0)</f>
        <v>0</v>
      </c>
      <c r="T166" s="191"/>
      <c r="U166" s="187">
        <f>IFERROR('Ενεργές συνδέσεις'!AP36/'Ανάπτυξη δικτύου'!AH62,0)</f>
        <v>0</v>
      </c>
      <c r="V166" s="191"/>
      <c r="W166" s="187">
        <f>IFERROR('Ενεργές συνδέσεις'!AU36/'Ανάπτυξη δικτύου'!AK62,0)</f>
        <v>0</v>
      </c>
      <c r="X166" s="191"/>
      <c r="Y166" s="237"/>
    </row>
    <row r="167" spans="2:25" ht="15" customHeight="1" outlineLevel="1" x14ac:dyDescent="0.25">
      <c r="B167" s="52"/>
      <c r="C167" s="53"/>
      <c r="D167" s="226">
        <f>IFERROR('Ενεργές συνδέσεις'!E37/'Ανάπτυξη δικτύου'!E63,0)</f>
        <v>0</v>
      </c>
      <c r="E167" s="187">
        <f>IFERROR('Ενεργές συνδέσεις'!G37/'Ανάπτυξη δικτύου'!G63,0)</f>
        <v>0</v>
      </c>
      <c r="F167" s="191">
        <f t="shared" si="216"/>
        <v>0</v>
      </c>
      <c r="G167" s="187">
        <f>IFERROR('Ενεργές συνδέσεις'!J37/'Ανάπτυξη δικτύου'!J63,0)</f>
        <v>0</v>
      </c>
      <c r="H167" s="191">
        <f t="shared" si="217"/>
        <v>0</v>
      </c>
      <c r="I167" s="187">
        <f>IFERROR('Ενεργές συνδέσεις'!M37/'Ανάπτυξη δικτύου'!M63,0)</f>
        <v>0</v>
      </c>
      <c r="J167" s="191">
        <f t="shared" si="218"/>
        <v>0</v>
      </c>
      <c r="K167" s="187">
        <f>IFERROR('Ενεργές συνδέσεις'!S37/'Ανάπτυξη δικτύου'!S63,0)</f>
        <v>0</v>
      </c>
      <c r="L167" s="191">
        <f t="shared" si="219"/>
        <v>0</v>
      </c>
      <c r="M167" s="237">
        <f t="shared" si="220"/>
        <v>0</v>
      </c>
      <c r="O167" s="188">
        <f>IFERROR('Ενεργές συνδέσεις'!AA28/'Ανάπτυξη δικτύου'!Y52,0)</f>
        <v>0</v>
      </c>
      <c r="P167" s="191"/>
      <c r="Q167" s="187">
        <f>IFERROR('Ενεργές συνδέσεις'!AF37/'Ανάπτυξη δικτύου'!AB63,0)</f>
        <v>0</v>
      </c>
      <c r="R167" s="191"/>
      <c r="S167" s="187">
        <f>IFERROR('Ενεργές συνδέσεις'!AK37/'Ανάπτυξη δικτύου'!AE63,0)</f>
        <v>0</v>
      </c>
      <c r="T167" s="191"/>
      <c r="U167" s="187">
        <f>IFERROR('Ενεργές συνδέσεις'!AP37/'Ανάπτυξη δικτύου'!AH63,0)</f>
        <v>0</v>
      </c>
      <c r="V167" s="191"/>
      <c r="W167" s="187">
        <f>IFERROR('Ενεργές συνδέσεις'!AU37/'Ανάπτυξη δικτύου'!AK63,0)</f>
        <v>0</v>
      </c>
      <c r="X167" s="191"/>
      <c r="Y167" s="237"/>
    </row>
    <row r="168" spans="2:25" ht="15" customHeight="1" outlineLevel="1" x14ac:dyDescent="0.25">
      <c r="B168" s="437" t="s">
        <v>90</v>
      </c>
      <c r="C168" s="438"/>
      <c r="D168" s="438"/>
      <c r="E168" s="438"/>
      <c r="F168" s="438"/>
      <c r="G168" s="438"/>
      <c r="H168" s="438"/>
      <c r="I168" s="438"/>
      <c r="J168" s="438"/>
      <c r="K168" s="438"/>
      <c r="L168" s="438"/>
      <c r="M168" s="438"/>
      <c r="N168" s="438"/>
      <c r="O168" s="438"/>
      <c r="P168" s="438"/>
      <c r="Q168" s="438"/>
      <c r="R168" s="438"/>
      <c r="S168" s="438"/>
      <c r="T168" s="438"/>
      <c r="U168" s="438"/>
      <c r="V168" s="438"/>
      <c r="W168" s="438"/>
      <c r="X168" s="438"/>
      <c r="Y168" s="439"/>
    </row>
    <row r="169" spans="2:25" ht="15" customHeight="1" outlineLevel="1" x14ac:dyDescent="0.25">
      <c r="B169" s="52" t="s">
        <v>82</v>
      </c>
      <c r="C169" s="56" t="s">
        <v>57</v>
      </c>
      <c r="D169" s="233">
        <f>IFERROR('Ενεργές συνδέσεις'!E30/'Ανάπτυξη δικτύου'!E54,0)</f>
        <v>0</v>
      </c>
      <c r="E169" s="172">
        <f>IFERROR('Ενεργές συνδέσεις'!G30/'Ανάπτυξη δικτύου'!G54,0)</f>
        <v>0</v>
      </c>
      <c r="F169" s="191">
        <f t="shared" si="195"/>
        <v>0</v>
      </c>
      <c r="G169" s="172">
        <f>IFERROR('Ενεργές συνδέσεις'!J30/'Ανάπτυξη δικτύου'!J54,0)</f>
        <v>0</v>
      </c>
      <c r="H169" s="191">
        <f t="shared" si="196"/>
        <v>0</v>
      </c>
      <c r="I169" s="172">
        <f>IFERROR('Ενεργές συνδέσεις'!M30/'Ανάπτυξη δικτύου'!M54,0)</f>
        <v>0</v>
      </c>
      <c r="J169" s="191">
        <f t="shared" si="197"/>
        <v>0</v>
      </c>
      <c r="K169" s="172">
        <f>IFERROR('Ενεργές συνδέσεις'!S30/'Ανάπτυξη δικτύου'!S54,0)</f>
        <v>4.6705319971319319E-2</v>
      </c>
      <c r="L169" s="191">
        <f t="shared" si="198"/>
        <v>0</v>
      </c>
      <c r="M169" s="237">
        <f>IFERROR((K169/D169)^(1/4)-1,0)</f>
        <v>0</v>
      </c>
      <c r="O169" s="207">
        <f>IFERROR('Ενεργές συνδέσεις'!AA30/'Ανάπτυξη δικτύου'!Y54,0)</f>
        <v>2.1721414236583449E-2</v>
      </c>
      <c r="P169" s="191">
        <f t="shared" si="199"/>
        <v>-0.53492633708703685</v>
      </c>
      <c r="Q169" s="172">
        <f>IFERROR('Ενεργές συνδέσεις'!AF30/'Ανάπτυξη δικτύου'!AB54,0)</f>
        <v>5.6695411650333448E-2</v>
      </c>
      <c r="R169" s="191">
        <f t="shared" si="200"/>
        <v>1.610116037235108</v>
      </c>
      <c r="S169" s="172">
        <f>IFERROR('Ενεργές συνδέσεις'!AK30/'Ανάπτυξη δικτύου'!AE54,0)</f>
        <v>7.8614188709396196E-2</v>
      </c>
      <c r="T169" s="191">
        <f t="shared" si="201"/>
        <v>0.38660583671648557</v>
      </c>
      <c r="U169" s="172">
        <f>IFERROR('Ενεργές συνδέσεις'!AP30/'Ανάπτυξη δικτύου'!AH54,0)</f>
        <v>9.155747485734804E-2</v>
      </c>
      <c r="V169" s="191">
        <f t="shared" si="202"/>
        <v>0.16464313071776093</v>
      </c>
      <c r="W169" s="296">
        <f>IFERROR('Ενεργές συνδέσεις'!AU30/'Ανάπτυξη δικτύου'!AK54,0)</f>
        <v>9.5560376658059845E-2</v>
      </c>
      <c r="X169" s="191">
        <f t="shared" si="203"/>
        <v>4.3720098298348262E-2</v>
      </c>
      <c r="Y169" s="237">
        <f t="shared" si="204"/>
        <v>0.44826301074937303</v>
      </c>
    </row>
    <row r="170" spans="2:25" x14ac:dyDescent="0.25">
      <c r="B170" s="31"/>
    </row>
    <row r="171" spans="2:25" ht="15.75" x14ac:dyDescent="0.25">
      <c r="N171" s="115"/>
    </row>
    <row r="176" spans="2:25" x14ac:dyDescent="0.25">
      <c r="N176" s="55"/>
    </row>
    <row r="177" spans="14:14" x14ac:dyDescent="0.25">
      <c r="N177" s="55"/>
    </row>
    <row r="179" spans="14:14" x14ac:dyDescent="0.25">
      <c r="N179" s="61"/>
    </row>
  </sheetData>
  <mergeCells count="129">
    <mergeCell ref="D150:J150"/>
    <mergeCell ref="O150:X150"/>
    <mergeCell ref="E151:F151"/>
    <mergeCell ref="G151:H151"/>
    <mergeCell ref="I151:J151"/>
    <mergeCell ref="O151:P151"/>
    <mergeCell ref="Q151:R151"/>
    <mergeCell ref="S151:T151"/>
    <mergeCell ref="U151:V151"/>
    <mergeCell ref="W151:X151"/>
    <mergeCell ref="K151:L151"/>
    <mergeCell ref="D127:J127"/>
    <mergeCell ref="O127:X127"/>
    <mergeCell ref="E128:F128"/>
    <mergeCell ref="G128:H128"/>
    <mergeCell ref="I128:J128"/>
    <mergeCell ref="O128:P128"/>
    <mergeCell ref="Q128:R128"/>
    <mergeCell ref="S128:T128"/>
    <mergeCell ref="U128:V128"/>
    <mergeCell ref="W128:X128"/>
    <mergeCell ref="K128:L128"/>
    <mergeCell ref="D104:J104"/>
    <mergeCell ref="O104:X104"/>
    <mergeCell ref="E105:F105"/>
    <mergeCell ref="G105:H105"/>
    <mergeCell ref="I105:J105"/>
    <mergeCell ref="O105:P105"/>
    <mergeCell ref="Q105:R105"/>
    <mergeCell ref="S105:T105"/>
    <mergeCell ref="U105:V105"/>
    <mergeCell ref="W105:X105"/>
    <mergeCell ref="U59:V59"/>
    <mergeCell ref="W59:X59"/>
    <mergeCell ref="K36:L36"/>
    <mergeCell ref="K59:L59"/>
    <mergeCell ref="D81:J81"/>
    <mergeCell ref="O81:X81"/>
    <mergeCell ref="E82:F82"/>
    <mergeCell ref="G82:H82"/>
    <mergeCell ref="I82:J82"/>
    <mergeCell ref="O82:P82"/>
    <mergeCell ref="Q82:R82"/>
    <mergeCell ref="S82:T82"/>
    <mergeCell ref="U82:V82"/>
    <mergeCell ref="W82:X82"/>
    <mergeCell ref="K82:L82"/>
    <mergeCell ref="B11:B13"/>
    <mergeCell ref="M11:M13"/>
    <mergeCell ref="Y11:Y13"/>
    <mergeCell ref="D35:J35"/>
    <mergeCell ref="O35:X35"/>
    <mergeCell ref="O36:P36"/>
    <mergeCell ref="Q36:R36"/>
    <mergeCell ref="S36:T36"/>
    <mergeCell ref="U36:V36"/>
    <mergeCell ref="W36:X36"/>
    <mergeCell ref="B168:Y168"/>
    <mergeCell ref="C35:C37"/>
    <mergeCell ref="C58:C60"/>
    <mergeCell ref="C81:C83"/>
    <mergeCell ref="C104:C106"/>
    <mergeCell ref="C127:C129"/>
    <mergeCell ref="B35:B37"/>
    <mergeCell ref="B58:B60"/>
    <mergeCell ref="B148:Y148"/>
    <mergeCell ref="B125:Y125"/>
    <mergeCell ref="B102:Y102"/>
    <mergeCell ref="B79:Y79"/>
    <mergeCell ref="B56:Y56"/>
    <mergeCell ref="B81:B83"/>
    <mergeCell ref="B104:B106"/>
    <mergeCell ref="B127:B129"/>
    <mergeCell ref="D58:J58"/>
    <mergeCell ref="O58:X58"/>
    <mergeCell ref="E59:F59"/>
    <mergeCell ref="G59:H59"/>
    <mergeCell ref="I59:J59"/>
    <mergeCell ref="O59:P59"/>
    <mergeCell ref="Q59:R59"/>
    <mergeCell ref="S59:T59"/>
    <mergeCell ref="C2:G2"/>
    <mergeCell ref="M150:M152"/>
    <mergeCell ref="K35:L35"/>
    <mergeCell ref="K58:L58"/>
    <mergeCell ref="K81:L81"/>
    <mergeCell ref="M35:M37"/>
    <mergeCell ref="M58:M60"/>
    <mergeCell ref="M81:M83"/>
    <mergeCell ref="M104:M106"/>
    <mergeCell ref="M127:M129"/>
    <mergeCell ref="K150:L150"/>
    <mergeCell ref="C150:C152"/>
    <mergeCell ref="E12:F12"/>
    <mergeCell ref="G12:H12"/>
    <mergeCell ref="I12:J12"/>
    <mergeCell ref="K12:L12"/>
    <mergeCell ref="K127:L127"/>
    <mergeCell ref="K104:L104"/>
    <mergeCell ref="K105:L105"/>
    <mergeCell ref="E36:F36"/>
    <mergeCell ref="G36:H36"/>
    <mergeCell ref="I36:J36"/>
    <mergeCell ref="B5:I5"/>
    <mergeCell ref="J2:L2"/>
    <mergeCell ref="Y150:Y152"/>
    <mergeCell ref="B9:Y9"/>
    <mergeCell ref="B29:Y29"/>
    <mergeCell ref="B53:Y53"/>
    <mergeCell ref="B76:Y76"/>
    <mergeCell ref="B99:Y99"/>
    <mergeCell ref="B122:Y122"/>
    <mergeCell ref="B145:Y145"/>
    <mergeCell ref="Y58:Y60"/>
    <mergeCell ref="Y35:Y37"/>
    <mergeCell ref="Y81:Y83"/>
    <mergeCell ref="Y104:Y106"/>
    <mergeCell ref="Y127:Y129"/>
    <mergeCell ref="B150:B152"/>
    <mergeCell ref="B33:Y33"/>
    <mergeCell ref="O12:P12"/>
    <mergeCell ref="U12:V12"/>
    <mergeCell ref="S12:T12"/>
    <mergeCell ref="Q12:R12"/>
    <mergeCell ref="W12:X12"/>
    <mergeCell ref="D11:J11"/>
    <mergeCell ref="K11:L11"/>
    <mergeCell ref="O11:X11"/>
    <mergeCell ref="C11:C13"/>
  </mergeCells>
  <hyperlinks>
    <hyperlink ref="J2" location="'Αρχική σελίδα'!A1" display="Πίσω στην αρχική σελίδα" xr:uid="{ECB8BA1E-1969-41B1-9315-6AFC51006E9F}"/>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33"/>
  <sheetViews>
    <sheetView showGridLines="0" topLeftCell="A7" zoomScale="85" zoomScaleNormal="85" workbookViewId="0">
      <selection activeCell="F126" sqref="F126"/>
    </sheetView>
  </sheetViews>
  <sheetFormatPr defaultRowHeight="15" outlineLevelRow="1" x14ac:dyDescent="0.25"/>
  <cols>
    <col min="1" max="1" width="2.85546875" customWidth="1"/>
    <col min="2" max="2" width="28.28515625" customWidth="1"/>
    <col min="3" max="8" width="13.7109375" customWidth="1"/>
    <col min="9" max="9" width="24.7109375" customWidth="1"/>
    <col min="12" max="13" width="11.5703125" customWidth="1"/>
    <col min="14" max="14" width="10" customWidth="1"/>
    <col min="15" max="15" width="7.7109375" customWidth="1"/>
    <col min="16" max="16" width="11.42578125" customWidth="1"/>
    <col min="25" max="25" width="14.7109375" customWidth="1"/>
    <col min="26" max="26" width="14.28515625" customWidth="1"/>
  </cols>
  <sheetData>
    <row r="2" spans="2:33" ht="18.75" x14ac:dyDescent="0.3">
      <c r="B2" s="1" t="s">
        <v>1</v>
      </c>
      <c r="C2" s="353" t="str">
        <f>'Αρχική σελίδα'!C3</f>
        <v>HENGAS</v>
      </c>
      <c r="D2" s="353"/>
      <c r="E2" s="353"/>
      <c r="F2" s="353"/>
      <c r="G2" s="353"/>
      <c r="H2" s="110"/>
      <c r="J2" s="354" t="s">
        <v>213</v>
      </c>
      <c r="K2" s="354"/>
      <c r="L2" s="354"/>
    </row>
    <row r="3" spans="2:33" ht="18.75" x14ac:dyDescent="0.3">
      <c r="B3" s="2" t="s">
        <v>2</v>
      </c>
      <c r="C3" s="111">
        <f>'Αρχική σελίδα'!C4</f>
        <v>2023</v>
      </c>
      <c r="D3" s="48" t="s">
        <v>0</v>
      </c>
      <c r="E3" s="48">
        <f>C3+4</f>
        <v>2027</v>
      </c>
    </row>
    <row r="4" spans="2:33" ht="14.45" customHeight="1" x14ac:dyDescent="0.3">
      <c r="C4" s="2"/>
      <c r="D4" s="48"/>
      <c r="E4" s="48"/>
    </row>
    <row r="5" spans="2:33" ht="44.45" customHeight="1" x14ac:dyDescent="0.25">
      <c r="B5" s="355" t="s">
        <v>251</v>
      </c>
      <c r="C5" s="355"/>
      <c r="D5" s="355"/>
      <c r="E5" s="355"/>
      <c r="F5" s="355"/>
      <c r="G5" s="355"/>
      <c r="H5" s="355"/>
      <c r="I5" s="355"/>
    </row>
    <row r="6" spans="2:33" x14ac:dyDescent="0.25">
      <c r="B6" s="271"/>
      <c r="C6" s="271"/>
      <c r="D6" s="271"/>
      <c r="E6" s="271"/>
      <c r="F6" s="271"/>
      <c r="G6" s="271"/>
      <c r="H6" s="271"/>
    </row>
    <row r="7" spans="2:33" ht="18.75" x14ac:dyDescent="0.3">
      <c r="B7" s="112" t="s">
        <v>155</v>
      </c>
      <c r="C7" s="113"/>
      <c r="D7" s="113"/>
      <c r="E7" s="113"/>
      <c r="F7" s="113"/>
      <c r="G7" s="113"/>
      <c r="H7" s="113"/>
      <c r="I7" s="113"/>
      <c r="J7" s="23"/>
    </row>
    <row r="8" spans="2:33" ht="18.75" x14ac:dyDescent="0.3">
      <c r="C8" s="2"/>
      <c r="D8" s="48"/>
      <c r="E8" s="48"/>
    </row>
    <row r="9" spans="2:33" ht="15.75" outlineLevel="1" x14ac:dyDescent="0.25">
      <c r="B9" s="352" t="s">
        <v>39</v>
      </c>
      <c r="C9" s="352"/>
      <c r="D9" s="352"/>
      <c r="E9" s="352"/>
      <c r="F9" s="352"/>
      <c r="G9" s="352"/>
      <c r="H9" s="352"/>
      <c r="I9" s="352"/>
    </row>
    <row r="10" spans="2:33"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row>
    <row r="11" spans="2:33" ht="45" outlineLevel="1" x14ac:dyDescent="0.25">
      <c r="B11" s="62"/>
      <c r="C11" s="63" t="s">
        <v>20</v>
      </c>
      <c r="D11" s="102">
        <f>$C$3</f>
        <v>2023</v>
      </c>
      <c r="E11" s="102">
        <f>$C$3+1</f>
        <v>2024</v>
      </c>
      <c r="F11" s="102">
        <f>$C$3+2</f>
        <v>2025</v>
      </c>
      <c r="G11" s="102">
        <f>$C$3+3</f>
        <v>2026</v>
      </c>
      <c r="H11" s="102">
        <f>$C$3+4</f>
        <v>2027</v>
      </c>
      <c r="I11" s="278" t="str">
        <f>"Ετήσιος ρυθμός ανάπτυξης (CAGR) "&amp;$C$3&amp;" - "&amp;$E$3</f>
        <v>Ετήσιος ρυθμός ανάπτυξης (CAGR) 2023 - 2027</v>
      </c>
    </row>
    <row r="12" spans="2:33" outlineLevel="1" x14ac:dyDescent="0.25">
      <c r="B12" s="281" t="s">
        <v>283</v>
      </c>
      <c r="C12" s="64" t="s">
        <v>58</v>
      </c>
      <c r="D12" s="226">
        <f>IFERROR(Επενδύσεις!D12/'Ενεργοί πελάτες'!X14,0)</f>
        <v>1172.2222222222222</v>
      </c>
      <c r="E12" s="226">
        <f>IFERROR(Επενδύσεις!E12/'Ενεργοί πελάτες'!AA14,0)</f>
        <v>1107.3809523809523</v>
      </c>
      <c r="F12" s="226">
        <f>IFERROR(Επενδύσεις!F12/'Ενεργοί πελάτες'!AD14,0)</f>
        <v>933.33333333333337</v>
      </c>
      <c r="G12" s="226">
        <f>IFERROR(Επενδύσεις!G12/'Ενεργοί πελάτες'!AG14,0)</f>
        <v>933.33333333333337</v>
      </c>
      <c r="H12" s="226">
        <f>IFERROR(Επενδύσεις!H12/'Ενεργοί πελάτες'!AJ14,0)</f>
        <v>933.33333333333326</v>
      </c>
      <c r="I12" s="237">
        <f>IFERROR((H12/D12)^(1/4)-1,0)</f>
        <v>-5.5380934943993432E-2</v>
      </c>
    </row>
    <row r="13" spans="2:33" outlineLevel="1" x14ac:dyDescent="0.25">
      <c r="B13" s="52" t="s">
        <v>284</v>
      </c>
      <c r="C13" s="64" t="s">
        <v>58</v>
      </c>
      <c r="D13" s="226">
        <f>IFERROR(Επενδύσεις!D13/'Ενεργοί πελάτες'!X15,0)</f>
        <v>2513.8321334066472</v>
      </c>
      <c r="E13" s="226">
        <f>IFERROR(Επενδύσεις!E13/'Ενεργοί πελάτες'!AA15,0)</f>
        <v>1226.2076381164256</v>
      </c>
      <c r="F13" s="226">
        <f>IFERROR(Επενδύσεις!F13/'Ενεργοί πελάτες'!AD15,0)</f>
        <v>1247.3499438292408</v>
      </c>
      <c r="G13" s="226">
        <f>IFERROR(Επενδύσεις!G13/'Ενεργοί πελάτες'!AG15,0)</f>
        <v>2067.0382669196711</v>
      </c>
      <c r="H13" s="226">
        <f>IFERROR(Επενδύσεις!H13/'Ενεργοί πελάτες'!AJ15,0)</f>
        <v>6303.6559139784949</v>
      </c>
      <c r="I13" s="237">
        <f t="shared" ref="I13:I15" si="0">IFERROR((H13/D13)^(1/4)-1,0)</f>
        <v>0.25838651713929806</v>
      </c>
    </row>
    <row r="14" spans="2:33" outlineLevel="1" x14ac:dyDescent="0.25">
      <c r="B14" s="52" t="s">
        <v>285</v>
      </c>
      <c r="C14" s="64" t="s">
        <v>58</v>
      </c>
      <c r="D14" s="226">
        <f>IFERROR(Επενδύσεις!D14/'Ενεργοί πελάτες'!X16,0)</f>
        <v>2058.9244283764961</v>
      </c>
      <c r="E14" s="226">
        <f>IFERROR(Επενδύσεις!E14/'Ενεργοί πελάτες'!AA16,0)</f>
        <v>1232.5656073191285</v>
      </c>
      <c r="F14" s="226">
        <f>IFERROR(Επενδύσεις!F14/'Ενεργοί πελάτες'!AD16,0)</f>
        <v>1300.0593752363663</v>
      </c>
      <c r="G14" s="226">
        <f>IFERROR(Επενδύσεις!G14/'Ενεργοί πελάτες'!AG16,0)</f>
        <v>2052.0364176885914</v>
      </c>
      <c r="H14" s="226">
        <f>IFERROR(Επενδύσεις!H14/'Ενεργοί πελάτες'!AJ16,0)</f>
        <v>3044.2948717948721</v>
      </c>
      <c r="I14" s="237">
        <f t="shared" si="0"/>
        <v>0.10271067135302925</v>
      </c>
    </row>
    <row r="15" spans="2:33" outlineLevel="1" x14ac:dyDescent="0.25">
      <c r="B15" s="52" t="s">
        <v>286</v>
      </c>
      <c r="C15" s="64" t="s">
        <v>58</v>
      </c>
      <c r="D15" s="226">
        <f>IFERROR(Επενδύσεις!D15/'Ενεργοί πελάτες'!X17,0)</f>
        <v>16742.473754691193</v>
      </c>
      <c r="E15" s="226">
        <f>IFERROR(Επενδύσεις!E15/'Ενεργοί πελάτες'!AA17,0)</f>
        <v>1155.5213254243577</v>
      </c>
      <c r="F15" s="226">
        <f>IFERROR(Επενδύσεις!F15/'Ενεργοί πελάτες'!AD17,0)</f>
        <v>1226.3426884953781</v>
      </c>
      <c r="G15" s="226">
        <f>IFERROR(Επενδύσεις!G15/'Ενεργοί πελάτες'!AG17,0)</f>
        <v>1477.8321086213673</v>
      </c>
      <c r="H15" s="226">
        <f>IFERROR(Επενδύσεις!H15/'Ενεργοί πελάτες'!AJ17,0)</f>
        <v>1965.9595049267002</v>
      </c>
      <c r="I15" s="237">
        <f t="shared" si="0"/>
        <v>-0.41461884760116452</v>
      </c>
    </row>
    <row r="16" spans="2:33" outlineLevel="1" x14ac:dyDescent="0.25">
      <c r="B16" s="52" t="s">
        <v>287</v>
      </c>
      <c r="C16" s="64" t="s">
        <v>58</v>
      </c>
      <c r="D16" s="226">
        <f>IFERROR(Επενδύσεις!D16/'Ενεργοί πελάτες'!X18,0)</f>
        <v>0</v>
      </c>
      <c r="E16" s="226">
        <f>IFERROR(Επενδύσεις!E16/'Ενεργοί πελάτες'!AA18,0)</f>
        <v>1228.7555203579432</v>
      </c>
      <c r="F16" s="226">
        <f>IFERROR(Επενδύσεις!F16/'Ενεργοί πελάτες'!AD18,0)</f>
        <v>1172.2233496383069</v>
      </c>
      <c r="G16" s="226">
        <f>IFERROR(Επενδύσεις!G16/'Ενεργοί πελάτες'!AG18,0)</f>
        <v>1201.2809296882106</v>
      </c>
      <c r="H16" s="226">
        <f>IFERROR(Επενδύσεις!H16/'Ενεργοί πελάτες'!AJ18,0)</f>
        <v>1410.7484409446797</v>
      </c>
      <c r="I16" s="237">
        <f>IFERROR((H16/D16)^(1/4)-1,0)</f>
        <v>0</v>
      </c>
    </row>
    <row r="17" spans="2:33" outlineLevel="1" x14ac:dyDescent="0.25">
      <c r="B17" s="52" t="s">
        <v>288</v>
      </c>
      <c r="C17" s="64" t="s">
        <v>58</v>
      </c>
      <c r="D17" s="226">
        <f>IFERROR(Επενδύσεις!D17/'Ενεργοί πελάτες'!X19,0)</f>
        <v>7858.6657008127549</v>
      </c>
      <c r="E17" s="226">
        <f>IFERROR(Επενδύσεις!E17/'Ενεργοί πελάτες'!AA19,0)</f>
        <v>1405.502553508923</v>
      </c>
      <c r="F17" s="226">
        <f>IFERROR(Επενδύσεις!F17/'Ενεργοί πελάτες'!AD19,0)</f>
        <v>2295.1061571125265</v>
      </c>
      <c r="G17" s="226">
        <f>IFERROR(Επενδύσεις!G17/'Ενεργοί πελάτες'!AG19,0)</f>
        <v>3768.0691200754895</v>
      </c>
      <c r="H17" s="226">
        <f>IFERROR(Επενδύσεις!H17/'Ενεργοί πελάτες'!AJ19,0)</f>
        <v>6534.3654163717856</v>
      </c>
      <c r="I17" s="237">
        <f t="shared" ref="I17:I19" si="1">IFERROR((H17/D17)^(1/4)-1,0)</f>
        <v>-4.5087340991701086E-2</v>
      </c>
    </row>
    <row r="18" spans="2:33" outlineLevel="1" x14ac:dyDescent="0.25">
      <c r="B18" s="52" t="s">
        <v>289</v>
      </c>
      <c r="C18" s="64" t="s">
        <v>58</v>
      </c>
      <c r="D18" s="226">
        <f>IFERROR(Επενδύσεις!D18/'Ενεργοί πελάτες'!X20,0)</f>
        <v>6623.0827198659726</v>
      </c>
      <c r="E18" s="226">
        <f>IFERROR(Επενδύσεις!E18/'Ενεργοί πελάτες'!AA20,0)</f>
        <v>1149.5379734285148</v>
      </c>
      <c r="F18" s="226">
        <f>IFERROR(Επενδύσεις!F18/'Ενεργοί πελάτες'!AD20,0)</f>
        <v>1106.0012099213552</v>
      </c>
      <c r="G18" s="226">
        <f>IFERROR(Επενδύσεις!G18/'Ενεργοί πελάτες'!AG20,0)</f>
        <v>1109.586828207518</v>
      </c>
      <c r="H18" s="226">
        <f>IFERROR(Επενδύσεις!H18/'Ενεργοί πελάτες'!AJ20,0)</f>
        <v>1245.5865921787708</v>
      </c>
      <c r="I18" s="237">
        <f t="shared" si="1"/>
        <v>-0.34146564527158807</v>
      </c>
    </row>
    <row r="19" spans="2:33" outlineLevel="1" x14ac:dyDescent="0.25">
      <c r="B19" s="52" t="s">
        <v>290</v>
      </c>
      <c r="C19" s="64" t="s">
        <v>58</v>
      </c>
      <c r="D19" s="226">
        <f>IFERROR(Επενδύσεις!D19/'Ενεργοί πελάτες'!X21,0)</f>
        <v>7111.1010188679247</v>
      </c>
      <c r="E19" s="226">
        <f>IFERROR(Επενδύσεις!E19/'Ενεργοί πελάτες'!AA21,0)</f>
        <v>1168.8448844884488</v>
      </c>
      <c r="F19" s="226">
        <f>IFERROR(Επενδύσεις!F19/'Ενεργοί πελάτες'!AD21,0)</f>
        <v>1088</v>
      </c>
      <c r="G19" s="226">
        <f>IFERROR(Επενδύσεις!G19/'Ενεργοί πελάτες'!AG21,0)</f>
        <v>1109.3333333333333</v>
      </c>
      <c r="H19" s="226">
        <f>IFERROR(Επενδύσεις!H19/'Ενεργοί πελάτες'!AJ21,0)</f>
        <v>1245.5865921787708</v>
      </c>
      <c r="I19" s="237">
        <f t="shared" si="1"/>
        <v>-0.35306705347219047</v>
      </c>
    </row>
    <row r="20" spans="2:33" outlineLevel="1" x14ac:dyDescent="0.25">
      <c r="B20" s="52" t="s">
        <v>291</v>
      </c>
      <c r="C20" s="64" t="s">
        <v>58</v>
      </c>
      <c r="D20" s="226">
        <f>IFERROR(Επενδύσεις!D20/'Ενεργοί πελάτες'!X22,0)</f>
        <v>1601.3076083538522</v>
      </c>
      <c r="E20" s="226">
        <f>IFERROR(Επενδύσεις!E20/'Ενεργοί πελάτες'!AA22,0)</f>
        <v>1278.16091954023</v>
      </c>
      <c r="F20" s="226">
        <f>IFERROR(Επενδύσεις!F20/'Ενεργοί πελάτες'!AD22,0)</f>
        <v>933.33333333333337</v>
      </c>
      <c r="G20" s="226">
        <f>IFERROR(Επενδύσεις!G20/'Ενεργοί πελάτες'!AG22,0)</f>
        <v>933.33333333333337</v>
      </c>
      <c r="H20" s="226">
        <f>IFERROR(Επενδύσεις!H20/'Ενεργοί πελάτες'!AJ22,0)</f>
        <v>933.33333333333337</v>
      </c>
      <c r="I20" s="237">
        <f t="shared" ref="I20:I26" si="2">IFERROR((H20/D20)^(1/4)-1,0)</f>
        <v>-0.12624333335952664</v>
      </c>
    </row>
    <row r="21" spans="2:33" outlineLevel="1" x14ac:dyDescent="0.25">
      <c r="B21" s="52" t="s">
        <v>307</v>
      </c>
      <c r="C21" s="64" t="s">
        <v>58</v>
      </c>
      <c r="D21" s="226">
        <f>IFERROR(Επενδύσεις!D21/'Ενεργοί πελάτες'!X23,0)</f>
        <v>11226.59172136752</v>
      </c>
      <c r="E21" s="226">
        <f>IFERROR(Επενδύσεις!E21/'Ενεργοί πελάτες'!AA23,0)</f>
        <v>3750.5832878705219</v>
      </c>
      <c r="F21" s="226">
        <f>IFERROR(Επενδύσεις!F21/'Ενεργοί πελάτες'!AD23,0)</f>
        <v>3188.0875010577984</v>
      </c>
      <c r="G21" s="226">
        <f>IFERROR(Επενδύσεις!G21/'Ενεργοί πελάτες'!AG23,0)</f>
        <v>2214.4059829059829</v>
      </c>
      <c r="H21" s="226">
        <f>IFERROR(Επενδύσεις!H21/'Ενεργοί πελάτες'!AJ23,0)</f>
        <v>2493.8583638583636</v>
      </c>
      <c r="I21" s="237">
        <f t="shared" si="2"/>
        <v>-0.31347562110197924</v>
      </c>
    </row>
    <row r="22" spans="2:33" outlineLevel="1" x14ac:dyDescent="0.25">
      <c r="B22" s="52" t="s">
        <v>304</v>
      </c>
      <c r="C22" s="64" t="s">
        <v>58</v>
      </c>
      <c r="D22" s="226">
        <f>IFERROR(Επενδύσεις!D22/'Ενεργοί πελάτες'!X24,0)</f>
        <v>17326.688840014445</v>
      </c>
      <c r="E22" s="226">
        <f>IFERROR(Επενδύσεις!E22/'Ενεργοί πελάτες'!AA24,0)</f>
        <v>5737.0194580832876</v>
      </c>
      <c r="F22" s="226">
        <f>IFERROR(Επενδύσεις!F22/'Ενεργοί πελάτες'!AD24,0)</f>
        <v>2463.3726495726496</v>
      </c>
      <c r="G22" s="226">
        <f>IFERROR(Επενδύσεις!G22/'Ενεργοί πελάτες'!AG24,0)</f>
        <v>4170.5726495726503</v>
      </c>
      <c r="H22" s="226">
        <f>IFERROR(Επενδύσεις!H22/'Ενεργοί πελάτες'!AJ24,0)</f>
        <v>5542.4297924297925</v>
      </c>
      <c r="I22" s="237">
        <f t="shared" si="2"/>
        <v>-0.24795096891180246</v>
      </c>
    </row>
    <row r="23" spans="2:33" outlineLevel="1" x14ac:dyDescent="0.25">
      <c r="B23" s="52" t="s">
        <v>305</v>
      </c>
      <c r="C23" s="64" t="s">
        <v>58</v>
      </c>
      <c r="D23" s="226">
        <f>IFERROR(Επενδύσεις!D23/'Ενεργοί πελάτες'!X25,0)</f>
        <v>19009.838424416379</v>
      </c>
      <c r="E23" s="226">
        <f>IFERROR(Επενδύσεις!E23/'Ενεργοί πελάτες'!AA25,0)</f>
        <v>4942.4449899981819</v>
      </c>
      <c r="F23" s="226">
        <f>IFERROR(Επενδύσεις!F23/'Ενεργοί πελάτες'!AD25,0)</f>
        <v>2118.6495726495727</v>
      </c>
      <c r="G23" s="226">
        <f>IFERROR(Επενδύσεις!G23/'Ενεργοί πελάτες'!AG25,0)</f>
        <v>3459.2393162393159</v>
      </c>
      <c r="H23" s="226">
        <f>IFERROR(Επενδύσεις!H23/'Ενεργοί πελάτες'!AJ25,0)</f>
        <v>2493.8583638583636</v>
      </c>
      <c r="I23" s="237">
        <f t="shared" si="2"/>
        <v>-0.39817068303885383</v>
      </c>
    </row>
    <row r="24" spans="2:33" outlineLevel="1" x14ac:dyDescent="0.25">
      <c r="B24" s="52" t="s">
        <v>306</v>
      </c>
      <c r="C24" s="64" t="s">
        <v>58</v>
      </c>
      <c r="D24" s="226">
        <f>IFERROR(Επενδύσεις!D24/'Ενεργοί πελάτες'!X26,0)</f>
        <v>4490.4125309200608</v>
      </c>
      <c r="E24" s="226">
        <f>IFERROR(Επενδύσεις!E24/'Ενεργοί πελάτες'!AA26,0)</f>
        <v>2341.001221001221</v>
      </c>
      <c r="F24" s="226">
        <f>IFERROR(Επενδύσεις!F24/'Ενεργοί πελάτες'!AD26,0)</f>
        <v>1757.7499894741275</v>
      </c>
      <c r="G24" s="226">
        <f>IFERROR(Επενδύσεις!G24/'Ενεργοί πελάτες'!AG26,0)</f>
        <v>1621.7465626161277</v>
      </c>
      <c r="H24" s="226">
        <f>IFERROR(Επενδύσεις!H24/'Ενεργοί πελάτες'!AJ26,0)</f>
        <v>1636.2393162393162</v>
      </c>
      <c r="I24" s="237">
        <f t="shared" si="2"/>
        <v>-0.22305523340961864</v>
      </c>
    </row>
    <row r="25" spans="2:33" outlineLevel="1" x14ac:dyDescent="0.25">
      <c r="B25" s="52" t="s">
        <v>308</v>
      </c>
      <c r="C25" s="64" t="s">
        <v>58</v>
      </c>
      <c r="D25" s="226">
        <f>IFERROR(Επενδύσεις!D25/'Ενεργοί πελάτες'!X27,0)</f>
        <v>5443.9629766008129</v>
      </c>
      <c r="E25" s="226">
        <f>IFERROR(Επενδύσεις!E25/'Ενεργοί πελάτες'!AA27,0)</f>
        <v>2432.987283718991</v>
      </c>
      <c r="F25" s="226">
        <f>IFERROR(Επενδύσεις!F25/'Ενεργοί πελάτες'!AD27,0)</f>
        <v>2056.5291713117799</v>
      </c>
      <c r="G25" s="226">
        <f>IFERROR(Επενδύσεις!G25/'Ενεργοί πελάτες'!AG27,0)</f>
        <v>2022.204228520018</v>
      </c>
      <c r="H25" s="226">
        <f>IFERROR(Επενδύσεις!H25/'Ενεργοί πελάτες'!AJ27,0)</f>
        <v>1636.2393162393162</v>
      </c>
      <c r="I25" s="237">
        <f t="shared" si="2"/>
        <v>-0.25957186094482854</v>
      </c>
    </row>
    <row r="26" spans="2:33" outlineLevel="1" x14ac:dyDescent="0.25">
      <c r="B26" s="52"/>
      <c r="C26" s="64"/>
      <c r="D26" s="226">
        <f>IFERROR(Επενδύσεις!D26/'Ενεργοί πελάτες'!X28,0)</f>
        <v>0</v>
      </c>
      <c r="E26" s="226">
        <f>IFERROR(Επενδύσεις!E26/'Ενεργοί πελάτες'!AA28,0)</f>
        <v>0</v>
      </c>
      <c r="F26" s="226">
        <f>IFERROR(Επενδύσεις!F26/'Ενεργοί πελάτες'!AD28,0)</f>
        <v>0</v>
      </c>
      <c r="G26" s="226">
        <f>IFERROR(Επενδύσεις!G26/'Ενεργοί πελάτες'!AG28,0)</f>
        <v>0</v>
      </c>
      <c r="H26" s="226">
        <f>IFERROR(Επενδύσεις!H26/'Ενεργοί πελάτες'!AJ28,0)</f>
        <v>0</v>
      </c>
      <c r="I26" s="237">
        <f t="shared" si="2"/>
        <v>0</v>
      </c>
    </row>
    <row r="27" spans="2:33" outlineLevel="1" x14ac:dyDescent="0.25">
      <c r="B27" s="349" t="s">
        <v>90</v>
      </c>
      <c r="C27" s="350"/>
      <c r="D27" s="350"/>
      <c r="E27" s="350"/>
      <c r="F27" s="350"/>
      <c r="G27" s="350"/>
      <c r="H27" s="350"/>
      <c r="I27" s="397"/>
    </row>
    <row r="28" spans="2:33" outlineLevel="1" x14ac:dyDescent="0.25">
      <c r="B28" s="52" t="s">
        <v>82</v>
      </c>
      <c r="C28" s="49" t="s">
        <v>58</v>
      </c>
      <c r="D28" s="226">
        <f>IFERROR(Επενδύσεις!D28/'Ενεργοί πελάτες'!X30,0)</f>
        <v>7969.9444139791549</v>
      </c>
      <c r="E28" s="226">
        <f>IFERROR(Επενδύσεις!E28/'Ενεργοί πελάτες'!AA30,0)</f>
        <v>1384.8805879222766</v>
      </c>
      <c r="F28" s="226">
        <f>IFERROR(Επενδύσεις!F28/'Ενεργοί πελάτες'!AD30,0)</f>
        <v>1339.1452433495406</v>
      </c>
      <c r="G28" s="226">
        <f>IFERROR(Επενδύσεις!G28/'Ενεργοί πελάτες'!AG30,0)</f>
        <v>1387.8962628084696</v>
      </c>
      <c r="H28" s="226">
        <f>IFERROR(Επενδύσεις!H28/'Ενεργοί πελάτες'!AJ30,0)</f>
        <v>1659.9943839390564</v>
      </c>
      <c r="I28" s="237">
        <f>IFERROR((H28/D28)^(1/4)-1,0)</f>
        <v>-0.32444170400472705</v>
      </c>
    </row>
    <row r="30" spans="2:33" ht="15.75" x14ac:dyDescent="0.25">
      <c r="B30" s="352" t="s">
        <v>40</v>
      </c>
      <c r="C30" s="352"/>
      <c r="D30" s="352"/>
      <c r="E30" s="352"/>
      <c r="F30" s="352"/>
      <c r="G30" s="352"/>
      <c r="H30" s="352"/>
      <c r="I30" s="352"/>
    </row>
    <row r="31" spans="2:33" ht="5.45" customHeight="1" outlineLevel="1" x14ac:dyDescent="0.2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row>
    <row r="32" spans="2:33" ht="36.75" customHeight="1" outlineLevel="1" x14ac:dyDescent="0.25">
      <c r="B32" s="62"/>
      <c r="C32" s="63" t="s">
        <v>20</v>
      </c>
      <c r="D32" s="102">
        <f>$C$3</f>
        <v>2023</v>
      </c>
      <c r="E32" s="102">
        <f>$C$3+1</f>
        <v>2024</v>
      </c>
      <c r="F32" s="102">
        <f>$C$3+2</f>
        <v>2025</v>
      </c>
      <c r="G32" s="102">
        <f>$C$3+3</f>
        <v>2026</v>
      </c>
      <c r="H32" s="102">
        <f>$C$3+4</f>
        <v>2027</v>
      </c>
      <c r="I32" s="278" t="str">
        <f>"Ετήσιος ρυθμός ανάπτυξης (CAGR) "&amp;$C$3&amp;" - "&amp;$E$3</f>
        <v>Ετήσιος ρυθμός ανάπτυξης (CAGR) 2023 - 2027</v>
      </c>
    </row>
    <row r="33" spans="2:9" outlineLevel="1" x14ac:dyDescent="0.25">
      <c r="B33" s="281" t="s">
        <v>283</v>
      </c>
      <c r="C33" s="64" t="s">
        <v>60</v>
      </c>
      <c r="D33" s="226">
        <f>IFERROR(Επενδύσεις!D12/'Διανεμόμενες ποσότητες αερίου'!R15,0)</f>
        <v>30.219039595619208</v>
      </c>
      <c r="E33" s="226">
        <f>IFERROR(Επενδύσεις!E12/'Διανεμόμενες ποσότητες αερίου'!X15,0)</f>
        <v>16.556314965114623</v>
      </c>
      <c r="F33" s="226">
        <f>IFERROR(Επενδύσεις!F12/'Διανεμόμενες ποσότητες αερίου'!AD15,0)</f>
        <v>5.5301619547429599</v>
      </c>
      <c r="G33" s="226">
        <f>IFERROR(Επενδύσεις!G12/'Διανεμόμενες ποσότητες αερίου'!AJ15,0)</f>
        <v>1.4916626711416547</v>
      </c>
      <c r="H33" s="226">
        <f>IFERROR(Επενδύσεις!H12/'Διανεμόμενες ποσότητες αερίου'!AP15,0)</f>
        <v>0.77250702671012017</v>
      </c>
      <c r="I33" s="237">
        <f t="shared" ref="I33:I36" si="3">IFERROR((H33/D33)^(1/4)-1,0)</f>
        <v>-0.60014231693703146</v>
      </c>
    </row>
    <row r="34" spans="2:9" outlineLevel="1" x14ac:dyDescent="0.25">
      <c r="B34" s="52" t="s">
        <v>284</v>
      </c>
      <c r="C34" s="64" t="s">
        <v>60</v>
      </c>
      <c r="D34" s="226">
        <f>IFERROR(Επενδύσεις!D13/'Διανεμόμενες ποσότητες αερίου'!R16,0)</f>
        <v>118.01113022005987</v>
      </c>
      <c r="E34" s="226">
        <f>IFERROR(Επενδύσεις!E13/'Διανεμόμενες ποσότητες αερίου'!X16,0)</f>
        <v>31.626271447926854</v>
      </c>
      <c r="F34" s="226">
        <f>IFERROR(Επενδύσεις!F13/'Διανεμόμενες ποσότητες αερίου'!AD16,0)</f>
        <v>19.883233364540075</v>
      </c>
      <c r="G34" s="226">
        <f>IFERROR(Επενδύσεις!G13/'Διανεμόμενες ποσότητες αερίου'!AJ16,0)</f>
        <v>7.7346245539001401</v>
      </c>
      <c r="H34" s="226">
        <f>IFERROR(Επενδύσεις!H13/'Διανεμόμενες ποσότητες αερίου'!AP16,0)</f>
        <v>4.7825757743250037</v>
      </c>
      <c r="I34" s="237">
        <f t="shared" si="3"/>
        <v>-0.55132205459147554</v>
      </c>
    </row>
    <row r="35" spans="2:9" outlineLevel="1" x14ac:dyDescent="0.25">
      <c r="B35" s="52" t="s">
        <v>285</v>
      </c>
      <c r="C35" s="64" t="s">
        <v>60</v>
      </c>
      <c r="D35" s="226">
        <f>IFERROR(Επενδύσεις!D14/'Διανεμόμενες ποσότητες αερίου'!R17,0)</f>
        <v>96.890561335364524</v>
      </c>
      <c r="E35" s="226">
        <f>IFERROR(Επενδύσεις!E14/'Διανεμόμενες ποσότητες αερίου'!X17,0)</f>
        <v>31.246592534665933</v>
      </c>
      <c r="F35" s="226">
        <f>IFERROR(Επενδύσεις!F14/'Διανεμόμενες ποσότητες αερίου'!AD17,0)</f>
        <v>18.288090801602912</v>
      </c>
      <c r="G35" s="226">
        <f>IFERROR(Επενδύσεις!G14/'Διανεμόμενες ποσότητες αερίου'!AJ17,0)</f>
        <v>8.1043937698361734</v>
      </c>
      <c r="H35" s="226">
        <f>IFERROR(Επενδύσεις!H14/'Διανεμόμενες ποσότητες αερίου'!AP17,0)</f>
        <v>6.0180999616317425</v>
      </c>
      <c r="I35" s="237">
        <f t="shared" si="3"/>
        <v>-0.50077712010315145</v>
      </c>
    </row>
    <row r="36" spans="2:9" outlineLevel="1" x14ac:dyDescent="0.25">
      <c r="B36" s="52" t="s">
        <v>286</v>
      </c>
      <c r="C36" s="64" t="s">
        <v>60</v>
      </c>
      <c r="D36" s="226">
        <f>IFERROR(Επενδύσεις!D15/'Διανεμόμενες ποσότητες αερίου'!R18,0)</f>
        <v>870.15132943577146</v>
      </c>
      <c r="E36" s="226">
        <f>IFERROR(Επενδύσεις!E15/'Διανεμόμενες ποσότητες αερίου'!X18,0)</f>
        <v>17.678755071352768</v>
      </c>
      <c r="F36" s="226">
        <f>IFERROR(Επενδύσεις!F15/'Διανεμόμενες ποσότητες αερίου'!AD18,0)</f>
        <v>7.6087937211338277</v>
      </c>
      <c r="G36" s="226">
        <f>IFERROR(Επενδύσεις!G15/'Διανεμόμενες ποσότητες αερίου'!AJ18,0)</f>
        <v>2.2504017285161941</v>
      </c>
      <c r="H36" s="226">
        <f>IFERROR(Επενδύσεις!H15/'Διανεμόμενες ποσότητες αερίου'!AP18,0)</f>
        <v>1.3127786931287533</v>
      </c>
      <c r="I36" s="237">
        <f t="shared" si="3"/>
        <v>-0.80291699167953756</v>
      </c>
    </row>
    <row r="37" spans="2:9" outlineLevel="1" x14ac:dyDescent="0.25">
      <c r="B37" s="52" t="s">
        <v>287</v>
      </c>
      <c r="C37" s="64" t="s">
        <v>60</v>
      </c>
      <c r="D37" s="226">
        <f>IFERROR(Επενδύσεις!D16/'Διανεμόμενες ποσότητες αερίου'!R19,0)</f>
        <v>0</v>
      </c>
      <c r="E37" s="226">
        <f>IFERROR(Επενδύσεις!E16/'Διανεμόμενες ποσότητες αερίου'!X19,0)</f>
        <v>11.731608569253122</v>
      </c>
      <c r="F37" s="226">
        <f>IFERROR(Επενδύσεις!F16/'Διανεμόμενες ποσότητες αερίου'!AD19,0)</f>
        <v>5.7542470790169613</v>
      </c>
      <c r="G37" s="226">
        <f>IFERROR(Επενδύσεις!G16/'Διανεμόμενες ποσότητες αερίου'!AJ19,0)</f>
        <v>4.2218023070065067</v>
      </c>
      <c r="H37" s="226">
        <f>IFERROR(Επενδύσεις!H16/'Διανεμόμενες ποσότητες αερίου'!AP19,0)</f>
        <v>2.2042456552106757</v>
      </c>
      <c r="I37" s="237">
        <f t="shared" ref="I37:I40" si="4">IFERROR((H37/D37)^(1/4)-1,0)</f>
        <v>0</v>
      </c>
    </row>
    <row r="38" spans="2:9" outlineLevel="1" x14ac:dyDescent="0.25">
      <c r="B38" s="52" t="s">
        <v>288</v>
      </c>
      <c r="C38" s="64" t="s">
        <v>60</v>
      </c>
      <c r="D38" s="226">
        <f>IFERROR(Επενδύσεις!D17/'Διανεμόμενες ποσότητες αερίου'!R20,0)</f>
        <v>254.28794801395034</v>
      </c>
      <c r="E38" s="226">
        <f>IFERROR(Επενδύσεις!E17/'Διανεμόμενες ποσότητες αερίου'!X20,0)</f>
        <v>9.2531439796142685</v>
      </c>
      <c r="F38" s="226">
        <f>IFERROR(Επενδύσεις!F17/'Διανεμόμενες ποσότητες αερίου'!AD20,0)</f>
        <v>5.2577405122475467</v>
      </c>
      <c r="G38" s="226">
        <f>IFERROR(Επενδύσεις!G17/'Διανεμόμενες ποσότητες αερίου'!AJ20,0)</f>
        <v>1.6690514595407833</v>
      </c>
      <c r="H38" s="226">
        <f>IFERROR(Επενδύσεις!H17/'Διανεμόμενες ποσότητες αερίου'!AP20,0)</f>
        <v>1.4406861469532195</v>
      </c>
      <c r="I38" s="237">
        <f t="shared" si="4"/>
        <v>-0.7256462499916474</v>
      </c>
    </row>
    <row r="39" spans="2:9" outlineLevel="1" x14ac:dyDescent="0.25">
      <c r="B39" s="52" t="s">
        <v>289</v>
      </c>
      <c r="C39" s="64" t="s">
        <v>60</v>
      </c>
      <c r="D39" s="226">
        <f>IFERROR(Επενδύσεις!D18/'Διανεμόμενες ποσότητες αερίου'!R21,0)</f>
        <v>301.27048386813772</v>
      </c>
      <c r="E39" s="226">
        <f>IFERROR(Επενδύσεις!E18/'Διανεμόμενες ποσότητες αερίου'!X21,0)</f>
        <v>20.835561689525289</v>
      </c>
      <c r="F39" s="226">
        <f>IFERROR(Επενδύσεις!F18/'Διανεμόμενες ποσότητες αερίου'!AD21,0)</f>
        <v>7.8552538578705295</v>
      </c>
      <c r="G39" s="226">
        <f>IFERROR(Επενδύσεις!G18/'Διανεμόμενες ποσότητες αερίου'!AJ21,0)</f>
        <v>6.0491449843087644</v>
      </c>
      <c r="H39" s="226">
        <f>IFERROR(Επενδύσεις!H18/'Διανεμόμενες ποσότητες αερίου'!AP21,0)</f>
        <v>2.940274035228077</v>
      </c>
      <c r="I39" s="237">
        <f t="shared" si="4"/>
        <v>-0.68569028418885769</v>
      </c>
    </row>
    <row r="40" spans="2:9" outlineLevel="1" x14ac:dyDescent="0.25">
      <c r="B40" s="52" t="s">
        <v>290</v>
      </c>
      <c r="C40" s="64" t="s">
        <v>60</v>
      </c>
      <c r="D40" s="226">
        <f>IFERROR(Επενδύσεις!D19/'Διανεμόμενες ποσότητες αερίου'!R22,0)</f>
        <v>329.33271059070256</v>
      </c>
      <c r="E40" s="226">
        <f>IFERROR(Επενδύσεις!E19/'Διανεμόμενες ποσότητες αερίου'!X22,0)</f>
        <v>16.438305298726373</v>
      </c>
      <c r="F40" s="226">
        <f>IFERROR(Επενδύσεις!F19/'Διανεμόμενες ποσότητες αερίου'!AD22,0)</f>
        <v>7.1673624602157648</v>
      </c>
      <c r="G40" s="226">
        <f>IFERROR(Επενδύσεις!G19/'Διανεμόμενες ποσότητες αερίου'!AJ22,0)</f>
        <v>4.3332703497526683</v>
      </c>
      <c r="H40" s="226">
        <f>IFERROR(Επενδύσεις!H19/'Διανεμόμενες ποσότητες αερίου'!AP22,0)</f>
        <v>2.1867827929147294</v>
      </c>
      <c r="I40" s="237">
        <f t="shared" si="4"/>
        <v>-0.71454168703816068</v>
      </c>
    </row>
    <row r="41" spans="2:9" outlineLevel="1" x14ac:dyDescent="0.25">
      <c r="B41" s="52" t="s">
        <v>291</v>
      </c>
      <c r="C41" s="64" t="s">
        <v>60</v>
      </c>
      <c r="D41" s="226">
        <f>IFERROR(Επενδύσεις!D20/'Διανεμόμενες ποσότητες αερίου'!R23,0)</f>
        <v>18.366049590718671</v>
      </c>
      <c r="E41" s="226">
        <f>IFERROR(Επενδύσεις!E20/'Διανεμόμενες ποσότητες αερίου'!X23,0)</f>
        <v>6.8759120476861817</v>
      </c>
      <c r="F41" s="226">
        <f>IFERROR(Επενδύσεις!F20/'Διανεμόμενες ποσότητες αερίου'!AD23,0)</f>
        <v>1.1301447107565561</v>
      </c>
      <c r="G41" s="226">
        <f>IFERROR(Επενδύσεις!G20/'Διανεμόμενες ποσότητες αερίου'!AJ23,0)</f>
        <v>0.9712442332373652</v>
      </c>
      <c r="H41" s="226">
        <f>IFERROR(Επενδύσεις!H20/'Διανεμόμενες ποσότητες αερίου'!AP23,0)</f>
        <v>0.63645765851773561</v>
      </c>
      <c r="I41" s="237">
        <f t="shared" ref="I41:I47" si="5">IFERROR((H41/D41)^(1/4)-1,0)</f>
        <v>-0.56854208441313947</v>
      </c>
    </row>
    <row r="42" spans="2:9" outlineLevel="1" x14ac:dyDescent="0.25">
      <c r="B42" s="52" t="s">
        <v>307</v>
      </c>
      <c r="C42" s="64" t="s">
        <v>60</v>
      </c>
      <c r="D42" s="226">
        <f>IFERROR(Επενδύσεις!D21/'Διανεμόμενες ποσότητες αερίου'!R24,0)</f>
        <v>528.02348906576617</v>
      </c>
      <c r="E42" s="226">
        <f>IFERROR(Επενδύσεις!E21/'Διανεμόμενες ποσότητες αερίου'!X24,0)</f>
        <v>104.39882412195117</v>
      </c>
      <c r="F42" s="226">
        <f>IFERROR(Επενδύσεις!F21/'Διανεμόμενες ποσότητες αερίου'!AD24,0)</f>
        <v>57.94436523426986</v>
      </c>
      <c r="G42" s="226">
        <f>IFERROR(Επενδύσεις!G21/'Διανεμόμενες ποσότητες αερίου'!AJ24,0)</f>
        <v>19.490150942402664</v>
      </c>
      <c r="H42" s="226">
        <f>IFERROR(Επενδύσεις!H21/'Διανεμόμενες ποσότητες αερίου'!AP24,0)</f>
        <v>15.753391753133922</v>
      </c>
      <c r="I42" s="237">
        <f t="shared" si="5"/>
        <v>-0.58439553217861584</v>
      </c>
    </row>
    <row r="43" spans="2:9" outlineLevel="1" x14ac:dyDescent="0.25">
      <c r="B43" s="52" t="s">
        <v>304</v>
      </c>
      <c r="C43" s="64" t="s">
        <v>60</v>
      </c>
      <c r="D43" s="226">
        <f>IFERROR(Επενδύσεις!D22/'Διανεμόμενες ποσότητες αερίου'!R25,0)</f>
        <v>804.04895924250047</v>
      </c>
      <c r="E43" s="226">
        <f>IFERROR(Επενδύσεις!E22/'Διανεμόμενες ποσότητες αερίου'!X25,0)</f>
        <v>152.98718554888765</v>
      </c>
      <c r="F43" s="226">
        <f>IFERROR(Επενδύσεις!F22/'Διανεμόμενες ποσότητες αερίου'!AD25,0)</f>
        <v>55.606606085161388</v>
      </c>
      <c r="G43" s="226">
        <f>IFERROR(Επενδύσεις!G22/'Διανεμόμενες ποσότητες αερίου'!AJ25,0)</f>
        <v>36.01975144603152</v>
      </c>
      <c r="H43" s="226">
        <f>IFERROR(Επενδύσεις!H22/'Διανεμόμενες ποσότητες αερίου'!AP25,0)</f>
        <v>30.025324469768911</v>
      </c>
      <c r="I43" s="237">
        <f t="shared" si="5"/>
        <v>-0.56040645784509002</v>
      </c>
    </row>
    <row r="44" spans="2:9" outlineLevel="1" x14ac:dyDescent="0.25">
      <c r="B44" s="52" t="s">
        <v>305</v>
      </c>
      <c r="C44" s="64" t="s">
        <v>60</v>
      </c>
      <c r="D44" s="226">
        <f>IFERROR(Επενδύσεις!D23/'Διανεμόμενες ποσότητες αερίου'!R26,0)</f>
        <v>887.56736894487631</v>
      </c>
      <c r="E44" s="226">
        <f>IFERROR(Επενδύσεις!E23/'Διανεμόμενες ποσότητες αερίου'!X26,0)</f>
        <v>135.44892975505221</v>
      </c>
      <c r="F44" s="226">
        <f>IFERROR(Επενδύσεις!F23/'Διανεμόμενες ποσότητες αερίου'!AD26,0)</f>
        <v>44.784462511291778</v>
      </c>
      <c r="G44" s="226">
        <f>IFERROR(Επενδύσεις!G23/'Διανεμόμενες ποσότητες αερίου'!AJ26,0)</f>
        <v>28.010034949306203</v>
      </c>
      <c r="H44" s="226">
        <f>IFERROR(Επενδύσεις!H23/'Διανεμόμενες ποσότητες αερίου'!AP26,0)</f>
        <v>14.634617943599979</v>
      </c>
      <c r="I44" s="237">
        <f t="shared" si="5"/>
        <v>-0.6416602259833597</v>
      </c>
    </row>
    <row r="45" spans="2:9" outlineLevel="1" x14ac:dyDescent="0.25">
      <c r="B45" s="52" t="s">
        <v>306</v>
      </c>
      <c r="C45" s="64" t="s">
        <v>60</v>
      </c>
      <c r="D45" s="226">
        <f>IFERROR(Επενδύσεις!D24/'Διανεμόμενες ποσότητες αερίου'!R27,0)</f>
        <v>233.68473375196234</v>
      </c>
      <c r="E45" s="226">
        <f>IFERROR(Επενδύσεις!E24/'Διανεμόμενες ποσότητες αερίου'!X27,0)</f>
        <v>59.850286877313906</v>
      </c>
      <c r="F45" s="226">
        <f>IFERROR(Επενδύσεις!F24/'Διανεμόμενες ποσότητες αερίου'!AD27,0)</f>
        <v>31.788262615879542</v>
      </c>
      <c r="G45" s="226">
        <f>IFERROR(Επενδύσεις!G24/'Διανεμόμενες ποσότητες αερίου'!AJ27,0)</f>
        <v>19.62521325362496</v>
      </c>
      <c r="H45" s="226">
        <f>IFERROR(Επενδύσεις!H24/'Διανεμόμενες ποσότητες αερίου'!AP27,0)</f>
        <v>11.058784452194759</v>
      </c>
      <c r="I45" s="237">
        <f t="shared" si="5"/>
        <v>-0.53358848611080334</v>
      </c>
    </row>
    <row r="46" spans="2:9" outlineLevel="1" x14ac:dyDescent="0.25">
      <c r="B46" s="52" t="s">
        <v>308</v>
      </c>
      <c r="C46" s="64" t="s">
        <v>60</v>
      </c>
      <c r="D46" s="226">
        <f>IFERROR(Επενδύσεις!D25/'Διανεμόμενες ποσότητες αερίου'!R28,0)</f>
        <v>263.55693775607108</v>
      </c>
      <c r="E46" s="226">
        <f>IFERROR(Επενδύσεις!E25/'Διανεμόμενες ποσότητες αερίου'!X28,0)</f>
        <v>60.046638755442366</v>
      </c>
      <c r="F46" s="226">
        <f>IFERROR(Επενδύσεις!F25/'Διανεμόμενες ποσότητες αερίου'!AD28,0)</f>
        <v>34.120952887409153</v>
      </c>
      <c r="G46" s="226">
        <f>IFERROR(Επενδύσεις!G25/'Διανεμόμενες ποσότητες αερίου'!AJ28,0)</f>
        <v>20.512181697366884</v>
      </c>
      <c r="H46" s="226">
        <f>IFERROR(Επενδύσεις!H25/'Διανεμόμενες ποσότητες αερίου'!AP28,0)</f>
        <v>11.676997796533925</v>
      </c>
      <c r="I46" s="237">
        <f t="shared" si="5"/>
        <v>-0.54120974319182646</v>
      </c>
    </row>
    <row r="47" spans="2:9" outlineLevel="1" x14ac:dyDescent="0.25">
      <c r="B47" s="52"/>
      <c r="C47" s="64"/>
      <c r="D47" s="226">
        <f>IFERROR(Επενδύσεις!D26/'Διανεμόμενες ποσότητες αερίου'!R29,0)</f>
        <v>0</v>
      </c>
      <c r="E47" s="226">
        <f>IFERROR(Επενδύσεις!E26/'Διανεμόμενες ποσότητες αερίου'!X29,0)</f>
        <v>0</v>
      </c>
      <c r="F47" s="226">
        <f>IFERROR(Επενδύσεις!F26/'Διανεμόμενες ποσότητες αερίου'!AD29,0)</f>
        <v>0</v>
      </c>
      <c r="G47" s="226">
        <f>IFERROR(Επενδύσεις!G26/'Διανεμόμενες ποσότητες αερίου'!AJ29,0)</f>
        <v>0</v>
      </c>
      <c r="H47" s="226">
        <f>IFERROR(Επενδύσεις!H26/'Διανεμόμενες ποσότητες αερίου'!AP29,0)</f>
        <v>0</v>
      </c>
      <c r="I47" s="237">
        <f t="shared" si="5"/>
        <v>0</v>
      </c>
    </row>
    <row r="48" spans="2:9" outlineLevel="1" x14ac:dyDescent="0.25">
      <c r="B48" s="349" t="s">
        <v>90</v>
      </c>
      <c r="C48" s="350"/>
      <c r="D48" s="350"/>
      <c r="E48" s="350"/>
      <c r="F48" s="350"/>
      <c r="G48" s="350"/>
      <c r="H48" s="350"/>
      <c r="I48" s="397"/>
    </row>
    <row r="49" spans="2:33" outlineLevel="1" x14ac:dyDescent="0.25">
      <c r="B49" s="52" t="s">
        <v>82</v>
      </c>
      <c r="C49" s="49" t="s">
        <v>60</v>
      </c>
      <c r="D49" s="226">
        <f>IFERROR(Επενδύσεις!D28/'Διανεμόμενες ποσότητες αερίου'!R31,0)</f>
        <v>278.38933806832125</v>
      </c>
      <c r="E49" s="226">
        <f>IFERROR(Επενδύσεις!E28/'Διανεμόμενες ποσότητες αερίου'!X31,0)</f>
        <v>19.170408362511534</v>
      </c>
      <c r="F49" s="226">
        <f>IFERROR(Επενδύσεις!F28/'Διανεμόμενες ποσότητες αερίου'!AD31,0)</f>
        <v>8.719846686337565</v>
      </c>
      <c r="G49" s="226">
        <f>IFERROR(Επενδύσεις!G28/'Διανεμόμενες ποσότητες αερίου'!AJ31,0)</f>
        <v>4.8352104215253648</v>
      </c>
      <c r="H49" s="226">
        <f>IFERROR(Επενδύσεις!H28/'Διανεμόμενες ποσότητες αερίου'!AP31,0)</f>
        <v>2.7511679697787494</v>
      </c>
      <c r="I49" s="237">
        <f>IFERROR((H49/D49)^(1/4)-1,0)</f>
        <v>-0.68470569450611007</v>
      </c>
    </row>
    <row r="51" spans="2:33" ht="15.75" x14ac:dyDescent="0.25">
      <c r="B51" s="352" t="s">
        <v>41</v>
      </c>
      <c r="C51" s="352"/>
      <c r="D51" s="352"/>
      <c r="E51" s="352"/>
      <c r="F51" s="352"/>
      <c r="G51" s="352"/>
      <c r="H51" s="352"/>
      <c r="I51" s="352"/>
    </row>
    <row r="52" spans="2:33" ht="5.45" customHeight="1" outlineLevel="1" x14ac:dyDescent="0.2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row>
    <row r="53" spans="2:33" ht="35.25" customHeight="1" outlineLevel="1" x14ac:dyDescent="0.25">
      <c r="B53" s="62"/>
      <c r="C53" s="63" t="s">
        <v>20</v>
      </c>
      <c r="D53" s="102">
        <f>$C$3</f>
        <v>2023</v>
      </c>
      <c r="E53" s="102">
        <f>$C$3+1</f>
        <v>2024</v>
      </c>
      <c r="F53" s="102">
        <f>$C$3+2</f>
        <v>2025</v>
      </c>
      <c r="G53" s="102">
        <f>$C$3+3</f>
        <v>2026</v>
      </c>
      <c r="H53" s="102">
        <f>$C$3+4</f>
        <v>2027</v>
      </c>
      <c r="I53" s="278" t="str">
        <f>"Ετήσιος ρυθμός ανάπτυξης (CAGR) "&amp;$C$3&amp;" - "&amp;$E$3</f>
        <v>Ετήσιος ρυθμός ανάπτυξης (CAGR) 2023 - 2027</v>
      </c>
    </row>
    <row r="54" spans="2:33" outlineLevel="1" x14ac:dyDescent="0.25">
      <c r="B54" s="281" t="s">
        <v>283</v>
      </c>
      <c r="C54" s="64" t="s">
        <v>59</v>
      </c>
      <c r="D54" s="226">
        <f>IFERROR(Επενδύσεις!D12/'Ενεργές συνδέσεις'!X14,0)</f>
        <v>1172.2222222222222</v>
      </c>
      <c r="E54" s="226">
        <f>IFERROR(Επενδύσεις!E12/'Ενεργές συνδέσεις'!AC14,0)</f>
        <v>1107.3809523809523</v>
      </c>
      <c r="F54" s="226">
        <f>IFERROR(Επενδύσεις!F12/'Ενεργές συνδέσεις'!AH14,0)</f>
        <v>933.33333333333337</v>
      </c>
      <c r="G54" s="226">
        <f>IFERROR(Επενδύσεις!G12/'Ενεργές συνδέσεις'!AM14,0)</f>
        <v>933.33333333333337</v>
      </c>
      <c r="H54" s="226">
        <f>IFERROR(Επενδύσεις!H12/'Ενεργές συνδέσεις'!AR14,0)</f>
        <v>933.33333333333326</v>
      </c>
      <c r="I54" s="237">
        <f t="shared" ref="I54:I57" si="6">IFERROR((H54/D54)^(1/4)-1,0)</f>
        <v>-5.5380934943993432E-2</v>
      </c>
    </row>
    <row r="55" spans="2:33" outlineLevel="1" x14ac:dyDescent="0.25">
      <c r="B55" s="52" t="s">
        <v>284</v>
      </c>
      <c r="C55" s="64" t="s">
        <v>59</v>
      </c>
      <c r="D55" s="226">
        <f>IFERROR(Επενδύσεις!D13/'Ενεργές συνδέσεις'!X15,0)</f>
        <v>2513.8321334066472</v>
      </c>
      <c r="E55" s="226">
        <f>IFERROR(Επενδύσεις!E13/'Ενεργές συνδέσεις'!AC15,0)</f>
        <v>1226.2076381164256</v>
      </c>
      <c r="F55" s="226">
        <f>IFERROR(Επενδύσεις!F13/'Ενεργές συνδέσεις'!AH15,0)</f>
        <v>1247.3499438292408</v>
      </c>
      <c r="G55" s="226">
        <f>IFERROR(Επενδύσεις!G13/'Ενεργές συνδέσεις'!AM15,0)</f>
        <v>2067.0382669196711</v>
      </c>
      <c r="H55" s="226">
        <f>IFERROR(Επενδύσεις!H13/'Ενεργές συνδέσεις'!AR15,0)</f>
        <v>6303.6559139784949</v>
      </c>
      <c r="I55" s="237">
        <f t="shared" si="6"/>
        <v>0.25838651713929806</v>
      </c>
    </row>
    <row r="56" spans="2:33" outlineLevel="1" x14ac:dyDescent="0.25">
      <c r="B56" s="52" t="s">
        <v>285</v>
      </c>
      <c r="C56" s="64" t="s">
        <v>59</v>
      </c>
      <c r="D56" s="226">
        <f>IFERROR(Επενδύσεις!D14/'Ενεργές συνδέσεις'!X16,0)</f>
        <v>2058.9244283764961</v>
      </c>
      <c r="E56" s="226">
        <f>IFERROR(Επενδύσεις!E14/'Ενεργές συνδέσεις'!AC16,0)</f>
        <v>1232.5656073191285</v>
      </c>
      <c r="F56" s="226">
        <f>IFERROR(Επενδύσεις!F14/'Ενεργές συνδέσεις'!AH16,0)</f>
        <v>1300.0593752363663</v>
      </c>
      <c r="G56" s="226">
        <f>IFERROR(Επενδύσεις!G14/'Ενεργές συνδέσεις'!AM16,0)</f>
        <v>2052.0364176885914</v>
      </c>
      <c r="H56" s="226">
        <f>IFERROR(Επενδύσεις!H14/'Ενεργές συνδέσεις'!AR16,0)</f>
        <v>2962.0166320166322</v>
      </c>
      <c r="I56" s="237">
        <f t="shared" si="6"/>
        <v>9.5183196116920721E-2</v>
      </c>
    </row>
    <row r="57" spans="2:33" outlineLevel="1" x14ac:dyDescent="0.25">
      <c r="B57" s="52" t="s">
        <v>286</v>
      </c>
      <c r="C57" s="64" t="s">
        <v>59</v>
      </c>
      <c r="D57" s="226">
        <f>IFERROR(Επενδύσεις!D15/'Ενεργές συνδέσεις'!X17,0)</f>
        <v>16742.473754691193</v>
      </c>
      <c r="E57" s="226">
        <f>IFERROR(Επενδύσεις!E15/'Ενεργές συνδέσεις'!AC17,0)</f>
        <v>1155.5213254243577</v>
      </c>
      <c r="F57" s="226">
        <f>IFERROR(Επενδύσεις!F15/'Ενεργές συνδέσεις'!AH17,0)</f>
        <v>1226.3426884953781</v>
      </c>
      <c r="G57" s="226">
        <f>IFERROR(Επενδύσεις!G15/'Ενεργές συνδέσεις'!AM17,0)</f>
        <v>1477.8321086213673</v>
      </c>
      <c r="H57" s="226">
        <f>IFERROR(Επενδύσεις!H15/'Ενεργές συνδέσεις'!AR17,0)</f>
        <v>1856.0611475084374</v>
      </c>
      <c r="I57" s="237">
        <f t="shared" si="6"/>
        <v>-0.42297694833783617</v>
      </c>
    </row>
    <row r="58" spans="2:33" outlineLevel="1" x14ac:dyDescent="0.25">
      <c r="B58" s="52" t="s">
        <v>287</v>
      </c>
      <c r="C58" s="64" t="s">
        <v>59</v>
      </c>
      <c r="D58" s="226">
        <f>IFERROR(Επενδύσεις!D16/'Ενεργές συνδέσεις'!X18,0)</f>
        <v>0</v>
      </c>
      <c r="E58" s="226">
        <f>IFERROR(Επενδύσεις!E16/'Ενεργές συνδέσεις'!AC18,0)</f>
        <v>1228.7555203579432</v>
      </c>
      <c r="F58" s="226">
        <f>IFERROR(Επενδύσεις!F16/'Ενεργές συνδέσεις'!AH18,0)</f>
        <v>1172.2233496383069</v>
      </c>
      <c r="G58" s="226">
        <f>IFERROR(Επενδύσεις!G16/'Ενεργές συνδέσεις'!AM18,0)</f>
        <v>1201.2809296882106</v>
      </c>
      <c r="H58" s="226">
        <f>IFERROR(Επενδύσεις!H16/'Ενεργές συνδέσεις'!AR18,0)</f>
        <v>1394.9417357240111</v>
      </c>
      <c r="I58" s="237">
        <f t="shared" ref="I58:I61" si="7">IFERROR((H58/D58)^(1/4)-1,0)</f>
        <v>0</v>
      </c>
    </row>
    <row r="59" spans="2:33" outlineLevel="1" x14ac:dyDescent="0.25">
      <c r="B59" s="52" t="s">
        <v>288</v>
      </c>
      <c r="C59" s="64" t="s">
        <v>59</v>
      </c>
      <c r="D59" s="226">
        <f>IFERROR(Επενδύσεις!D17/'Ενεργές συνδέσεις'!X19,0)</f>
        <v>7858.6657008127549</v>
      </c>
      <c r="E59" s="226">
        <f>IFERROR(Επενδύσεις!E17/'Ενεργές συνδέσεις'!AC19,0)</f>
        <v>1405.502553508923</v>
      </c>
      <c r="F59" s="226">
        <f>IFERROR(Επενδύσεις!F17/'Ενεργές συνδέσεις'!AH19,0)</f>
        <v>2295.1061571125265</v>
      </c>
      <c r="G59" s="226">
        <f>IFERROR(Επενδύσεις!G17/'Ενεργές συνδέσεις'!AM19,0)</f>
        <v>3768.0691200754895</v>
      </c>
      <c r="H59" s="226">
        <f>IFERROR(Επενδύσεις!H17/'Ενεργές συνδέσεις'!AR19,0)</f>
        <v>6300.9952229299361</v>
      </c>
      <c r="I59" s="237">
        <f t="shared" si="7"/>
        <v>-5.3729973383230378E-2</v>
      </c>
    </row>
    <row r="60" spans="2:33" outlineLevel="1" x14ac:dyDescent="0.25">
      <c r="B60" s="52" t="s">
        <v>289</v>
      </c>
      <c r="C60" s="64" t="s">
        <v>59</v>
      </c>
      <c r="D60" s="226">
        <f>IFERROR(Επενδύσεις!D18/'Ενεργές συνδέσεις'!X20,0)</f>
        <v>6623.0827198659726</v>
      </c>
      <c r="E60" s="226">
        <f>IFERROR(Επενδύσεις!E18/'Ενεργές συνδέσεις'!AC20,0)</f>
        <v>1149.5379734285148</v>
      </c>
      <c r="F60" s="226">
        <f>IFERROR(Επενδύσεις!F18/'Ενεργές συνδέσεις'!AH20,0)</f>
        <v>1106.0012099213552</v>
      </c>
      <c r="G60" s="226">
        <f>IFERROR(Επενδύσεις!G18/'Ενεργές συνδέσεις'!AM20,0)</f>
        <v>1109.586828207518</v>
      </c>
      <c r="H60" s="226">
        <f>IFERROR(Επενδύσεις!H18/'Ενεργές συνδέσεις'!AR20,0)</f>
        <v>1222.8153564899451</v>
      </c>
      <c r="I60" s="237">
        <f t="shared" si="7"/>
        <v>-0.34449625654016425</v>
      </c>
    </row>
    <row r="61" spans="2:33" outlineLevel="1" x14ac:dyDescent="0.25">
      <c r="B61" s="52" t="s">
        <v>290</v>
      </c>
      <c r="C61" s="64" t="s">
        <v>59</v>
      </c>
      <c r="D61" s="226">
        <f>IFERROR(Επενδύσεις!D19/'Ενεργές συνδέσεις'!X21,0)</f>
        <v>7111.1010188679247</v>
      </c>
      <c r="E61" s="226">
        <f>IFERROR(Επενδύσεις!E19/'Ενεργές συνδέσεις'!AC21,0)</f>
        <v>1168.8448844884488</v>
      </c>
      <c r="F61" s="226">
        <f>IFERROR(Επενδύσεις!F19/'Ενεργές συνδέσεις'!AH21,0)</f>
        <v>1088</v>
      </c>
      <c r="G61" s="226">
        <f>IFERROR(Επενδύσεις!G19/'Ενεργές συνδέσεις'!AM21,0)</f>
        <v>1109.3333333333333</v>
      </c>
      <c r="H61" s="226">
        <f>IFERROR(Επενδύσεις!H19/'Ενεργές συνδέσεις'!AR21,0)</f>
        <v>1222.8153564899451</v>
      </c>
      <c r="I61" s="237">
        <f t="shared" si="7"/>
        <v>-0.35604427442305342</v>
      </c>
    </row>
    <row r="62" spans="2:33" outlineLevel="1" x14ac:dyDescent="0.25">
      <c r="B62" s="52" t="s">
        <v>291</v>
      </c>
      <c r="C62" s="64" t="s">
        <v>59</v>
      </c>
      <c r="D62" s="226">
        <f>IFERROR(Επενδύσεις!D20/'Ενεργές συνδέσεις'!X22,0)</f>
        <v>1601.3076083538522</v>
      </c>
      <c r="E62" s="226">
        <f>IFERROR(Επενδύσεις!E20/'Ενεργές συνδέσεις'!AC22,0)</f>
        <v>1278.16091954023</v>
      </c>
      <c r="F62" s="226">
        <f>IFERROR(Επενδύσεις!F20/'Ενεργές συνδέσεις'!AH22,0)</f>
        <v>933.33333333333337</v>
      </c>
      <c r="G62" s="226">
        <f>IFERROR(Επενδύσεις!G20/'Ενεργές συνδέσεις'!AM22,0)</f>
        <v>933.33333333333337</v>
      </c>
      <c r="H62" s="226">
        <f>IFERROR(Επενδύσεις!H20/'Ενεργές συνδέσεις'!AR22,0)</f>
        <v>848.4848484848485</v>
      </c>
      <c r="I62" s="237">
        <f t="shared" ref="I62:I68" si="8">IFERROR((H62/D62)^(1/4)-1,0)</f>
        <v>-0.14681672947696911</v>
      </c>
    </row>
    <row r="63" spans="2:33" outlineLevel="1" x14ac:dyDescent="0.25">
      <c r="B63" s="52" t="s">
        <v>307</v>
      </c>
      <c r="C63" s="64" t="s">
        <v>59</v>
      </c>
      <c r="D63" s="226">
        <f>IFERROR(Επενδύσεις!D21/'Ενεργές συνδέσεις'!X23,0)</f>
        <v>11226.59172136752</v>
      </c>
      <c r="E63" s="226">
        <f>IFERROR(Επενδύσεις!E21/'Ενεργές συνδέσεις'!AC23,0)</f>
        <v>3750.5832878705219</v>
      </c>
      <c r="F63" s="226">
        <f>IFERROR(Επενδύσεις!F21/'Ενεργές συνδέσεις'!AH23,0)</f>
        <v>3188.0875010577984</v>
      </c>
      <c r="G63" s="226">
        <f>IFERROR(Επενδύσεις!G21/'Ενεργές συνδέσεις'!AM23,0)</f>
        <v>2214.4059829059829</v>
      </c>
      <c r="H63" s="226">
        <f>IFERROR(Επενδύσεις!H21/'Ενεργές συνδέσεις'!AR23,0)</f>
        <v>2493.8583638583636</v>
      </c>
      <c r="I63" s="237">
        <f t="shared" si="8"/>
        <v>-0.31347562110197924</v>
      </c>
    </row>
    <row r="64" spans="2:33" outlineLevel="1" x14ac:dyDescent="0.25">
      <c r="B64" s="52" t="s">
        <v>304</v>
      </c>
      <c r="C64" s="64" t="s">
        <v>59</v>
      </c>
      <c r="D64" s="226">
        <f>IFERROR(Επενδύσεις!D22/'Ενεργές συνδέσεις'!X24,0)</f>
        <v>17326.688840014445</v>
      </c>
      <c r="E64" s="226">
        <f>IFERROR(Επενδύσεις!E22/'Ενεργές συνδέσεις'!AC24,0)</f>
        <v>5737.0194580832876</v>
      </c>
      <c r="F64" s="226">
        <f>IFERROR(Επενδύσεις!F22/'Ενεργές συνδέσεις'!AH24,0)</f>
        <v>2463.3726495726496</v>
      </c>
      <c r="G64" s="226">
        <f>IFERROR(Επενδύσεις!G22/'Ενεργές συνδέσεις'!AM24,0)</f>
        <v>4170.5726495726503</v>
      </c>
      <c r="H64" s="226">
        <f>IFERROR(Επενδύσεις!H22/'Ενεργές συνδέσεις'!AR24,0)</f>
        <v>5542.4297924297925</v>
      </c>
      <c r="I64" s="237">
        <f t="shared" si="8"/>
        <v>-0.24795096891180246</v>
      </c>
    </row>
    <row r="65" spans="2:33" outlineLevel="1" x14ac:dyDescent="0.25">
      <c r="B65" s="52" t="s">
        <v>305</v>
      </c>
      <c r="C65" s="64" t="s">
        <v>59</v>
      </c>
      <c r="D65" s="226">
        <f>IFERROR(Επενδύσεις!D23/'Ενεργές συνδέσεις'!X25,0)</f>
        <v>19009.838424416379</v>
      </c>
      <c r="E65" s="226">
        <f>IFERROR(Επενδύσεις!E23/'Ενεργές συνδέσεις'!AC25,0)</f>
        <v>4942.4449899981819</v>
      </c>
      <c r="F65" s="226">
        <f>IFERROR(Επενδύσεις!F23/'Ενεργές συνδέσεις'!AH25,0)</f>
        <v>2118.6495726495727</v>
      </c>
      <c r="G65" s="226">
        <f>IFERROR(Επενδύσεις!G23/'Ενεργές συνδέσεις'!AM25,0)</f>
        <v>3459.2393162393159</v>
      </c>
      <c r="H65" s="226">
        <f>IFERROR(Επενδύσεις!H23/'Ενεργές συνδέσεις'!AR25,0)</f>
        <v>2493.8583638583636</v>
      </c>
      <c r="I65" s="237">
        <f t="shared" si="8"/>
        <v>-0.39817068303885383</v>
      </c>
    </row>
    <row r="66" spans="2:33" outlineLevel="1" x14ac:dyDescent="0.25">
      <c r="B66" s="52" t="s">
        <v>306</v>
      </c>
      <c r="C66" s="64" t="s">
        <v>59</v>
      </c>
      <c r="D66" s="226">
        <f>IFERROR(Επενδύσεις!D24/'Ενεργές συνδέσεις'!X26,0)</f>
        <v>4490.4125309200608</v>
      </c>
      <c r="E66" s="226">
        <f>IFERROR(Επενδύσεις!E24/'Ενεργές συνδέσεις'!AC26,0)</f>
        <v>2341.001221001221</v>
      </c>
      <c r="F66" s="226">
        <f>IFERROR(Επενδύσεις!F24/'Ενεργές συνδέσεις'!AH26,0)</f>
        <v>1757.7499894741275</v>
      </c>
      <c r="G66" s="226">
        <f>IFERROR(Επενδύσεις!G24/'Ενεργές συνδέσεις'!AM26,0)</f>
        <v>1621.7465626161277</v>
      </c>
      <c r="H66" s="226">
        <f>IFERROR(Επενδύσεις!H24/'Ενεργές συνδέσεις'!AR26,0)</f>
        <v>1510.3747534516765</v>
      </c>
      <c r="I66" s="237">
        <f t="shared" si="8"/>
        <v>-0.2384479016284885</v>
      </c>
    </row>
    <row r="67" spans="2:33" outlineLevel="1" x14ac:dyDescent="0.25">
      <c r="B67" s="52" t="s">
        <v>308</v>
      </c>
      <c r="C67" s="64" t="s">
        <v>59</v>
      </c>
      <c r="D67" s="226">
        <f>IFERROR(Επενδύσεις!D25/'Ενεργές συνδέσεις'!X27,0)</f>
        <v>5443.9629766008129</v>
      </c>
      <c r="E67" s="226">
        <f>IFERROR(Επενδύσεις!E25/'Ενεργές συνδέσεις'!AC27,0)</f>
        <v>2432.987283718991</v>
      </c>
      <c r="F67" s="226">
        <f>IFERROR(Επενδύσεις!F25/'Ενεργές συνδέσεις'!AH27,0)</f>
        <v>2056.5291713117799</v>
      </c>
      <c r="G67" s="226">
        <f>IFERROR(Επενδύσεις!G25/'Ενεργές συνδέσεις'!AM27,0)</f>
        <v>2022.204228520018</v>
      </c>
      <c r="H67" s="226">
        <f>IFERROR(Επενδύσεις!H25/'Ενεργές συνδέσεις'!AR27,0)</f>
        <v>1354.129089301503</v>
      </c>
      <c r="I67" s="237">
        <f t="shared" si="8"/>
        <v>-0.2937861570872059</v>
      </c>
    </row>
    <row r="68" spans="2:33" outlineLevel="1" x14ac:dyDescent="0.25">
      <c r="B68" s="52"/>
      <c r="C68" s="64"/>
      <c r="D68" s="226">
        <f>IFERROR(Επενδύσεις!D26/'Ενεργές συνδέσεις'!X28,0)</f>
        <v>0</v>
      </c>
      <c r="E68" s="226">
        <f>IFERROR(Επενδύσεις!E26/'Ενεργές συνδέσεις'!AC28,0)</f>
        <v>0</v>
      </c>
      <c r="F68" s="226">
        <f>IFERROR(Επενδύσεις!F26/'Ενεργές συνδέσεις'!AH28,0)</f>
        <v>0</v>
      </c>
      <c r="G68" s="226">
        <f>IFERROR(Επενδύσεις!G26/'Ενεργές συνδέσεις'!AM28,0)</f>
        <v>0</v>
      </c>
      <c r="H68" s="226">
        <f>IFERROR(Επενδύσεις!H26/'Ενεργές συνδέσεις'!AR28,0)</f>
        <v>0</v>
      </c>
      <c r="I68" s="237">
        <f t="shared" si="8"/>
        <v>0</v>
      </c>
    </row>
    <row r="69" spans="2:33" outlineLevel="1" x14ac:dyDescent="0.25">
      <c r="B69" s="349" t="s">
        <v>90</v>
      </c>
      <c r="C69" s="350"/>
      <c r="D69" s="350"/>
      <c r="E69" s="350"/>
      <c r="F69" s="350"/>
      <c r="G69" s="350"/>
      <c r="H69" s="350"/>
      <c r="I69" s="397"/>
    </row>
    <row r="70" spans="2:33" outlineLevel="1" x14ac:dyDescent="0.25">
      <c r="B70" s="52" t="s">
        <v>82</v>
      </c>
      <c r="C70" s="49" t="s">
        <v>59</v>
      </c>
      <c r="D70" s="226">
        <f>IFERROR(Επενδύσεις!D28/'Ενεργές συνδέσεις'!X30,0)</f>
        <v>9470.390821967354</v>
      </c>
      <c r="E70" s="226">
        <f>IFERROR(Επενδύσεις!E28/'Ενεργές συνδέσεις'!AC30,0)</f>
        <v>1513.5091917361765</v>
      </c>
      <c r="F70" s="226">
        <f>IFERROR(Επενδύσεις!F28/'Ενεργές συνδέσεις'!AH30,0)</f>
        <v>1550.3287232042526</v>
      </c>
      <c r="G70" s="226">
        <f>IFERROR(Επενδύσεις!G28/'Ενεργές συνδέσεις'!AM30,0)</f>
        <v>1602.6119787606035</v>
      </c>
      <c r="H70" s="226">
        <f>IFERROR(Επενδύσεις!H28/'Ενεργές συνδέσεις'!AR30,0)</f>
        <v>1996.0256357485821</v>
      </c>
      <c r="I70" s="237">
        <f>IFERROR((H70/D70)^(1/4)-1,0)</f>
        <v>-0.32243720123126351</v>
      </c>
    </row>
    <row r="72" spans="2:33" ht="15.75" x14ac:dyDescent="0.25">
      <c r="B72" s="352" t="s">
        <v>42</v>
      </c>
      <c r="C72" s="352"/>
      <c r="D72" s="352"/>
      <c r="E72" s="352"/>
      <c r="F72" s="352"/>
      <c r="G72" s="352"/>
      <c r="H72" s="352"/>
      <c r="I72" s="352"/>
    </row>
    <row r="73" spans="2:33" ht="5.45" customHeight="1" outlineLevel="1" x14ac:dyDescent="0.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row>
    <row r="74" spans="2:33" ht="33.75" customHeight="1" outlineLevel="1" x14ac:dyDescent="0.25">
      <c r="B74" s="62"/>
      <c r="C74" s="63" t="s">
        <v>20</v>
      </c>
      <c r="D74" s="102">
        <f>$C$3</f>
        <v>2023</v>
      </c>
      <c r="E74" s="102">
        <f>$C$3+1</f>
        <v>2024</v>
      </c>
      <c r="F74" s="102">
        <f>$C$3+2</f>
        <v>2025</v>
      </c>
      <c r="G74" s="102">
        <f>$C$3+3</f>
        <v>2026</v>
      </c>
      <c r="H74" s="102">
        <f>$C$3+4</f>
        <v>2027</v>
      </c>
      <c r="I74" s="278" t="str">
        <f>"Ετήσιος ρυθμός ανάπτυξης (CAGR) "&amp;$C$3&amp;" - "&amp;$E$3</f>
        <v>Ετήσιος ρυθμός ανάπτυξης (CAGR) 2023 - 2027</v>
      </c>
    </row>
    <row r="75" spans="2:33" outlineLevel="1" x14ac:dyDescent="0.25">
      <c r="B75" s="281" t="s">
        <v>283</v>
      </c>
      <c r="C75" s="64" t="s">
        <v>61</v>
      </c>
      <c r="D75" s="323">
        <f>IFERROR('Ενεργοί πελάτες'!X14/'Ανάπτυξη δικτύου'!X38,0)</f>
        <v>0.30599999999999999</v>
      </c>
      <c r="E75" s="323">
        <f>IFERROR('Ενεργοί πελάτες'!AA14/'Ανάπτυξη δικτύου'!AA38,0)</f>
        <v>0.42</v>
      </c>
      <c r="F75" s="323">
        <f>IFERROR('Ενεργοί πελάτες'!AD14/'Ανάπτυξη δικτύου'!AD38,0)</f>
        <v>0</v>
      </c>
      <c r="G75" s="323">
        <f>IFERROR('Ενεργοί πελάτες'!AG14/'Ανάπτυξη δικτύου'!AG38,0)</f>
        <v>0</v>
      </c>
      <c r="H75" s="323">
        <f>IFERROR('Ενεργοί πελάτες'!AJ14/'Ανάπτυξη δικτύου'!AJ38,0)</f>
        <v>0</v>
      </c>
      <c r="I75" s="237">
        <f t="shared" ref="I75:I78" si="9">IFERROR((H75/D75)^(1/4)-1,0)</f>
        <v>-1</v>
      </c>
    </row>
    <row r="76" spans="2:33" outlineLevel="1" x14ac:dyDescent="0.25">
      <c r="B76" s="52" t="s">
        <v>284</v>
      </c>
      <c r="C76" s="64" t="s">
        <v>61</v>
      </c>
      <c r="D76" s="323">
        <f>IFERROR('Ενεργοί πελάτες'!X15/'Ανάπτυξη δικτύου'!X39,0)</f>
        <v>2.2459396751740138E-2</v>
      </c>
      <c r="E76" s="323">
        <f>IFERROR('Ενεργοί πελάτες'!AA15/'Ανάπτυξη δικτύου'!AA39,0)</f>
        <v>0.28999999999999998</v>
      </c>
      <c r="F76" s="323">
        <f>IFERROR('Ενεργοί πελάτες'!AD15/'Ανάπτυξη δικτύου'!AD39,0)</f>
        <v>0.26800000000000002</v>
      </c>
      <c r="G76" s="323">
        <f>IFERROR('Ενεργοί πελάτες'!AG15/'Ανάπτυξη δικτύου'!AG39,0)</f>
        <v>6.8000000000000005E-2</v>
      </c>
      <c r="H76" s="323">
        <f>IFERROR('Ενεργοί πελάτες'!AJ15/'Ανάπτυξη δικτύου'!AJ39,0)</f>
        <v>1.4E-2</v>
      </c>
      <c r="I76" s="237">
        <f t="shared" si="9"/>
        <v>-0.11144873984617831</v>
      </c>
    </row>
    <row r="77" spans="2:33" outlineLevel="1" x14ac:dyDescent="0.25">
      <c r="B77" s="52" t="s">
        <v>285</v>
      </c>
      <c r="C77" s="64" t="s">
        <v>61</v>
      </c>
      <c r="D77" s="323">
        <f>IFERROR('Ενεργοί πελάτες'!X16/'Ανάπτυξη δικτύου'!X40,0)</f>
        <v>2.9318348399706817E-2</v>
      </c>
      <c r="E77" s="323">
        <f>IFERROR('Ενεργοί πελάτες'!AA16/'Ανάπτυξη δικτύου'!AA40,0)</f>
        <v>0.28399999999999997</v>
      </c>
      <c r="F77" s="323">
        <f>IFERROR('Ενεργοί πελάτες'!AD16/'Ανάπτυξη δικτύου'!AD40,0)</f>
        <v>0.22600000000000001</v>
      </c>
      <c r="G77" s="323">
        <f>IFERROR('Ενεργοί πελάτες'!AG16/'Ανάπτυξη δικτύου'!AG40,0)</f>
        <v>6.9000000000000006E-2</v>
      </c>
      <c r="H77" s="323">
        <f>IFERROR('Ενεργοί πελάτες'!AJ16/'Ανάπτυξη δικτύου'!AJ40,0)</f>
        <v>3.5999999999999997E-2</v>
      </c>
      <c r="I77" s="237">
        <f t="shared" si="9"/>
        <v>5.2666373110335174E-2</v>
      </c>
    </row>
    <row r="78" spans="2:33" outlineLevel="1" x14ac:dyDescent="0.25">
      <c r="B78" s="52" t="s">
        <v>286</v>
      </c>
      <c r="C78" s="64" t="s">
        <v>61</v>
      </c>
      <c r="D78" s="323">
        <f>IFERROR('Ενεργοί πελάτες'!X17/'Ανάπτυξη δικτύου'!X41,0)</f>
        <v>6.0888888888888885E-3</v>
      </c>
      <c r="E78" s="323">
        <f>IFERROR('Ενεργοί πελάτες'!AA17/'Ανάπτυξη δικτύου'!AA46,0)</f>
        <v>0</v>
      </c>
      <c r="F78" s="323">
        <f>IFERROR('Ενεργοί πελάτες'!AD17/'Ανάπτυξη δικτύου'!AD46,0)</f>
        <v>0</v>
      </c>
      <c r="G78" s="323">
        <f>IFERROR('Ενεργοί πελάτες'!AG17/'Ανάπτυξη δικτύου'!AG46,0)</f>
        <v>0</v>
      </c>
      <c r="H78" s="323">
        <f>IFERROR('Ενεργοί πελάτες'!AJ17/'Ανάπτυξη δικτύου'!AJ41,0)</f>
        <v>7.5999999999999998E-2</v>
      </c>
      <c r="I78" s="237">
        <f t="shared" si="9"/>
        <v>0.87961492910298866</v>
      </c>
    </row>
    <row r="79" spans="2:33" outlineLevel="1" x14ac:dyDescent="0.25">
      <c r="B79" s="52" t="s">
        <v>287</v>
      </c>
      <c r="C79" s="64" t="s">
        <v>61</v>
      </c>
      <c r="D79" s="323">
        <f>IFERROR('Ενεργοί πελάτες'!X18/'Ανάπτυξη δικτύου'!X42,0)</f>
        <v>0</v>
      </c>
      <c r="E79" s="323">
        <f>IFERROR('Ενεργοί πελάτες'!AA18/'Ανάπτυξη δικτύου'!AA42,0)</f>
        <v>0.51700000000000002</v>
      </c>
      <c r="F79" s="323">
        <f>IFERROR('Ενεργοί πελάτες'!AD18/'Ανάπτυξη δικτύου'!AD42,0)</f>
        <v>0.40450000000000003</v>
      </c>
      <c r="G79" s="323">
        <f>IFERROR('Ενεργοί πελάτες'!AG18/'Ανάπτυξη δικτύου'!AG42,0)</f>
        <v>0.34949999999999998</v>
      </c>
      <c r="H79" s="323">
        <f>IFERROR('Ενεργοί πελάτες'!AJ18/'Ανάπτυξη δικτύου'!AJ42,0)</f>
        <v>0.17649999999999999</v>
      </c>
      <c r="I79" s="237">
        <f t="shared" ref="I79:I82" si="10">IFERROR((H79/D79)^(1/4)-1,0)</f>
        <v>0</v>
      </c>
    </row>
    <row r="80" spans="2:33" outlineLevel="1" x14ac:dyDescent="0.25">
      <c r="B80" s="52" t="s">
        <v>288</v>
      </c>
      <c r="C80" s="64" t="s">
        <v>61</v>
      </c>
      <c r="D80" s="323">
        <f>IFERROR('Ενεργοί πελάτες'!X19/'Ανάπτυξη δικτύου'!X43,0)</f>
        <v>1.5722222222222221E-2</v>
      </c>
      <c r="E80" s="323">
        <f>IFERROR('Ενεργοί πελάτες'!AA19/'Ανάπτυξη δικτύου'!AA43,0)</f>
        <v>0.185</v>
      </c>
      <c r="F80" s="323">
        <f>IFERROR('Ενεργοί πελάτες'!AD19/'Ανάπτυξη δικτύου'!AD43,0)</f>
        <v>5.7750000000000003E-2</v>
      </c>
      <c r="G80" s="323">
        <f>IFERROR('Ενεργοί πελάτες'!AG19/'Ανάπτυξη δικτύου'!AG43,0)</f>
        <v>2.7E-2</v>
      </c>
      <c r="H80" s="323">
        <f>IFERROR('Ενεργοί πελάτες'!AJ19/'Ανάπτυξη δικτύου'!AJ43,0)</f>
        <v>1.35E-2</v>
      </c>
      <c r="I80" s="237">
        <f t="shared" si="10"/>
        <v>-3.7379825100427588E-2</v>
      </c>
    </row>
    <row r="81" spans="2:33" outlineLevel="1" x14ac:dyDescent="0.25">
      <c r="B81" s="52" t="s">
        <v>289</v>
      </c>
      <c r="C81" s="64" t="s">
        <v>61</v>
      </c>
      <c r="D81" s="323">
        <f>IFERROR('Ενεργοί πελάτες'!X20/'Ανάπτυξη δικτύου'!X44,0)</f>
        <v>1.1825902335456476E-2</v>
      </c>
      <c r="E81" s="323">
        <f>IFERROR('Ενεργοί πελάτες'!AA20/'Ανάπτυξη δικτύου'!AA44,0)</f>
        <v>0.84050000000000002</v>
      </c>
      <c r="F81" s="323">
        <f>IFERROR('Ενεργοί πελάτες'!AD20/'Ανάπτυξη δικτύου'!AD44,0)</f>
        <v>0.55100000000000005</v>
      </c>
      <c r="G81" s="323">
        <f>IFERROR('Ενεργοί πελάτες'!AG20/'Ανάπτυξη δικτύου'!AG44,0)</f>
        <v>0.53649999999999998</v>
      </c>
      <c r="H81" s="323">
        <f>IFERROR('Ενεργοί πελάτες'!AJ20/'Ανάπτυξη δικτύου'!AJ44,0)</f>
        <v>0.26850000000000002</v>
      </c>
      <c r="I81" s="237">
        <f t="shared" si="10"/>
        <v>1.1828681315577927</v>
      </c>
    </row>
    <row r="82" spans="2:33" outlineLevel="1" x14ac:dyDescent="0.25">
      <c r="B82" s="52" t="s">
        <v>290</v>
      </c>
      <c r="C82" s="64" t="s">
        <v>61</v>
      </c>
      <c r="D82" s="323">
        <f>IFERROR('Ενεργοί πελάτες'!X21/'Ανάπτυξη δικτύου'!X45,0)</f>
        <v>1.06E-2</v>
      </c>
      <c r="E82" s="323">
        <f>IFERROR('Ενεργοί πελάτες'!AA21/'Ανάπτυξη δικτύου'!AA56,0)</f>
        <v>0</v>
      </c>
      <c r="F82" s="323">
        <f>IFERROR('Ενεργοί πελάτες'!AD21/'Ανάπτυξη δικτύου'!AD56,0)</f>
        <v>0</v>
      </c>
      <c r="G82" s="323">
        <f>IFERROR('Ενεργοί πελάτες'!AG21/'Ανάπτυξη δικτύου'!AG56,0)</f>
        <v>0</v>
      </c>
      <c r="H82" s="323">
        <f>IFERROR('Ενεργοί πελάτες'!AJ21/'Ανάπτυξη δικτύου'!AJ45,0)</f>
        <v>0.26850000000000002</v>
      </c>
      <c r="I82" s="237">
        <f t="shared" si="10"/>
        <v>1.2434149320723957</v>
      </c>
    </row>
    <row r="83" spans="2:33" outlineLevel="1" x14ac:dyDescent="0.25">
      <c r="B83" s="52" t="s">
        <v>291</v>
      </c>
      <c r="C83" s="64" t="s">
        <v>61</v>
      </c>
      <c r="D83" s="323">
        <f>IFERROR('Ενεργοί πελάτες'!X22/'Ανάπτυξη δικτύου'!X46,0)</f>
        <v>4.6519949901592417E-2</v>
      </c>
      <c r="E83" s="323">
        <f>IFERROR('Ενεργοί πελάτες'!AA22/'Ανάπτυξη δικτύου'!AA57,0)</f>
        <v>0</v>
      </c>
      <c r="F83" s="323">
        <f>IFERROR('Ενεργοί πελάτες'!AD22/'Ανάπτυξη δικτύου'!AD57,0)</f>
        <v>0</v>
      </c>
      <c r="G83" s="323">
        <f>IFERROR('Ενεργοί πελάτες'!AG22/'Ανάπτυξη δικτύου'!AG57,0)</f>
        <v>0</v>
      </c>
      <c r="H83" s="323">
        <f>IFERROR('Ενεργοί πελάτες'!AJ22/'Ανάπτυξη δικτύου'!AJ46,0)</f>
        <v>0</v>
      </c>
      <c r="I83" s="237">
        <f t="shared" ref="I83:I89" si="11">IFERROR((H83/D83)^(1/4)-1,0)</f>
        <v>-1</v>
      </c>
    </row>
    <row r="84" spans="2:33" outlineLevel="1" x14ac:dyDescent="0.25">
      <c r="B84" s="52" t="s">
        <v>307</v>
      </c>
      <c r="C84" s="64" t="s">
        <v>61</v>
      </c>
      <c r="D84" s="323">
        <f>IFERROR('Ενεργοί πελάτες'!X23/'Ανάπτυξη δικτύου'!X47,0)</f>
        <v>1.1818181818181818E-2</v>
      </c>
      <c r="E84" s="323">
        <f>IFERROR('Ενεργοί πελάτες'!AA23/'Ανάπτυξη δικτύου'!AA58,0)</f>
        <v>0</v>
      </c>
      <c r="F84" s="323">
        <f>IFERROR('Ενεργοί πελάτες'!AD23/'Ανάπτυξη δικτύου'!AD58,0)</f>
        <v>0</v>
      </c>
      <c r="G84" s="323">
        <f>IFERROR('Ενεργοί πελάτες'!AG23/'Ανάπτυξη δικτύου'!AG58,0)</f>
        <v>0</v>
      </c>
      <c r="H84" s="323">
        <f>IFERROR('Ενεργοί πελάτες'!AJ23/'Ανάπτυξη δικτύου'!AJ47,0)</f>
        <v>4.9000000000000002E-2</v>
      </c>
      <c r="I84" s="237">
        <f t="shared" si="11"/>
        <v>0.4269585342922857</v>
      </c>
    </row>
    <row r="85" spans="2:33" outlineLevel="1" x14ac:dyDescent="0.25">
      <c r="B85" s="52" t="s">
        <v>304</v>
      </c>
      <c r="C85" s="64" t="s">
        <v>61</v>
      </c>
      <c r="D85" s="323">
        <f>IFERROR('Ενεργοί πελάτες'!X24/'Ανάπτυξη δικτύου'!X48,0)</f>
        <v>1.1833333333333333E-2</v>
      </c>
      <c r="E85" s="323">
        <f>IFERROR('Ενεργοί πελάτες'!AA24/'Ανάπτυξη δικτύου'!AA59,0)</f>
        <v>4.6442687747035576E-2</v>
      </c>
      <c r="F85" s="323">
        <f>IFERROR('Ενεργοί πελάτες'!AD24/'Ανάπτυξη δικτύου'!AD59,0)</f>
        <v>7.407407407407407E-2</v>
      </c>
      <c r="G85" s="323">
        <f>IFERROR('Ενεργοί πελάτες'!AG24/'Ανάπτυξη δικτύου'!AG59,0)</f>
        <v>3.4550839091806514E-2</v>
      </c>
      <c r="H85" s="323">
        <f>IFERROR('Ενεργοί πελάτες'!AJ24/'Ανάπτυξη δικτύου'!AJ48,0)</f>
        <v>1.6333333333333332E-2</v>
      </c>
      <c r="I85" s="237">
        <f t="shared" si="11"/>
        <v>8.390677717936823E-2</v>
      </c>
    </row>
    <row r="86" spans="2:33" outlineLevel="1" x14ac:dyDescent="0.25">
      <c r="B86" s="52" t="s">
        <v>305</v>
      </c>
      <c r="C86" s="64" t="s">
        <v>61</v>
      </c>
      <c r="D86" s="323">
        <f>IFERROR('Ενεργοί πελάτες'!X25/'Ανάπτυξη δικτύου'!X49,0)</f>
        <v>9.571428571428571E-3</v>
      </c>
      <c r="E86" s="323">
        <f>IFERROR('Ενεργοί πελάτες'!AA25/'Ανάπτυξη δικτύου'!AA60,0)</f>
        <v>0</v>
      </c>
      <c r="F86" s="323">
        <f>IFERROR('Ενεργοί πελάτες'!AD25/'Ανάπτυξη δικτύου'!AD60,0)</f>
        <v>0</v>
      </c>
      <c r="G86" s="323">
        <f>IFERROR('Ενεργοί πελάτες'!AG25/'Ανάπτυξη δικτύου'!AG60,0)</f>
        <v>0</v>
      </c>
      <c r="H86" s="323">
        <f>IFERROR('Ενεργοί πελάτες'!AJ25/'Ανάπτυξη δικτύου'!AJ49,0)</f>
        <v>4.9000000000000002E-2</v>
      </c>
      <c r="I86" s="237">
        <f t="shared" si="11"/>
        <v>0.5041973850010808</v>
      </c>
    </row>
    <row r="87" spans="2:33" outlineLevel="1" x14ac:dyDescent="0.25">
      <c r="B87" s="52" t="s">
        <v>306</v>
      </c>
      <c r="C87" s="64" t="s">
        <v>61</v>
      </c>
      <c r="D87" s="323">
        <f>IFERROR('Ενεργοί πελάτες'!X26/'Ανάπτυξη δικτύου'!X50,0)</f>
        <v>5.0999999999999997E-2</v>
      </c>
      <c r="E87" s="323">
        <f>IFERROR('Ενεργοί πελάτες'!AA26/'Ανάπτυξη δικτύου'!AA61,0)</f>
        <v>0.83333333333333337</v>
      </c>
      <c r="F87" s="323">
        <f>IFERROR('Ενεργοί πελάτες'!AD26/'Ανάπτυξη δικτύου'!AD61,0)</f>
        <v>1.9333333333333333</v>
      </c>
      <c r="G87" s="323">
        <f>IFERROR('Ενεργοί πελάτες'!AG26/'Ανάπτυξη δικτύου'!AG61,0)</f>
        <v>6.1333333333333337</v>
      </c>
      <c r="H87" s="323">
        <f>IFERROR('Ενεργοί πελάτες'!AJ26/'Ανάπτυξη δικτύου'!AJ50,0)</f>
        <v>0.12</v>
      </c>
      <c r="I87" s="237">
        <f t="shared" si="11"/>
        <v>0.23851926819680158</v>
      </c>
    </row>
    <row r="88" spans="2:33" outlineLevel="1" x14ac:dyDescent="0.25">
      <c r="B88" s="52" t="s">
        <v>308</v>
      </c>
      <c r="C88" s="64" t="s">
        <v>61</v>
      </c>
      <c r="D88" s="323">
        <f>IFERROR('Ενεργοί πελάτες'!X27/'Ανάπτυξη δικτύου'!X51,0)</f>
        <v>4.0666666666666663E-2</v>
      </c>
      <c r="E88" s="323">
        <f>IFERROR('Ενεργοί πελάτες'!AA27/'Ανάπτυξη δικτύου'!AA62,0)</f>
        <v>0.56551724137931036</v>
      </c>
      <c r="F88" s="323">
        <f>IFERROR('Ενεργοί πελάτες'!AD27/'Ανάπτυξη δικτύου'!AD62,0)</f>
        <v>0.68656716417910446</v>
      </c>
      <c r="G88" s="323">
        <f>IFERROR('Ενεργοί πελάτες'!AG27/'Ανάπτυξη δικτύου'!AG62,0)</f>
        <v>2.2352941176470589</v>
      </c>
      <c r="H88" s="323">
        <f>IFERROR('Ενεργοί πελάτες'!AJ27/'Ανάπτυξη δικτύου'!AJ51,0)</f>
        <v>0.12</v>
      </c>
      <c r="I88" s="237">
        <f t="shared" si="11"/>
        <v>0.31064678801788737</v>
      </c>
    </row>
    <row r="89" spans="2:33" outlineLevel="1" x14ac:dyDescent="0.25">
      <c r="B89" s="52"/>
      <c r="C89" s="64"/>
      <c r="D89" s="323">
        <f>IFERROR('Ενεργοί πελάτες'!X28/'Ανάπτυξη δικτύου'!X52,0)</f>
        <v>0</v>
      </c>
      <c r="E89" s="323">
        <f>IFERROR('Ενεργοί πελάτες'!AA28/'Ανάπτυξη δικτύου'!AA63,0)</f>
        <v>0</v>
      </c>
      <c r="F89" s="323">
        <f>IFERROR('Ενεργοί πελάτες'!AD28/'Ανάπτυξη δικτύου'!AD63,0)</f>
        <v>0</v>
      </c>
      <c r="G89" s="323">
        <f>IFERROR('Ενεργοί πελάτες'!AG28/'Ανάπτυξη δικτύου'!AG63,0)</f>
        <v>0</v>
      </c>
      <c r="H89" s="323">
        <f>IFERROR('Ενεργοί πελάτες'!AJ28/'Ανάπτυξη δικτύου'!AJ52,0)</f>
        <v>0</v>
      </c>
      <c r="I89" s="237">
        <f t="shared" si="11"/>
        <v>0</v>
      </c>
    </row>
    <row r="90" spans="2:33" outlineLevel="1" x14ac:dyDescent="0.25">
      <c r="B90" s="349" t="s">
        <v>90</v>
      </c>
      <c r="C90" s="350"/>
      <c r="D90" s="350"/>
      <c r="E90" s="350"/>
      <c r="F90" s="350"/>
      <c r="G90" s="350"/>
      <c r="H90" s="350"/>
      <c r="I90" s="397"/>
    </row>
    <row r="91" spans="2:33" outlineLevel="1" x14ac:dyDescent="0.25">
      <c r="B91" s="52" t="s">
        <v>82</v>
      </c>
      <c r="C91" s="49" t="s">
        <v>61</v>
      </c>
      <c r="D91" s="226">
        <f>IFERROR('Ενεργοί πελάτες'!X30/'Ανάπτυξη δικτύου'!X54,0)</f>
        <v>1.1847634007461222E-2</v>
      </c>
      <c r="E91" s="226">
        <f>IFERROR('Ενεργοί πελάτες'!AA30/'Ανάπτυξη δικτύου'!AA54,0)</f>
        <v>0.22142424242424241</v>
      </c>
      <c r="F91" s="226">
        <f>IFERROR('Ενεργοί πελάτες'!AD30/'Ανάπτυξη δικτύου'!AD54,0)</f>
        <v>0.21275471698113207</v>
      </c>
      <c r="G91" s="226">
        <f>IFERROR('Ενεργοί πελάτες'!AG30/'Ανάπτυξη δικτύου'!AG54,0)</f>
        <v>0.1826046511627907</v>
      </c>
      <c r="H91" s="226">
        <f>IFERROR('Ενεργοί πελάτες'!AJ30/'Ανάπτυξη δικτύου'!AJ54,0)</f>
        <v>0.10942105263157895</v>
      </c>
      <c r="I91" s="237">
        <f>IFERROR((H91/D91)^(1/4)-1,0)</f>
        <v>0.74328067030741818</v>
      </c>
    </row>
    <row r="93" spans="2:33" ht="15.75" x14ac:dyDescent="0.25">
      <c r="B93" s="352" t="s">
        <v>43</v>
      </c>
      <c r="C93" s="352"/>
      <c r="D93" s="352"/>
      <c r="E93" s="352"/>
      <c r="F93" s="352"/>
      <c r="G93" s="352"/>
      <c r="H93" s="352"/>
      <c r="I93" s="352"/>
    </row>
    <row r="94" spans="2:33" ht="5.45" customHeight="1" outlineLevel="1" x14ac:dyDescent="0.2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row>
    <row r="95" spans="2:33" ht="33" customHeight="1" outlineLevel="1" x14ac:dyDescent="0.25">
      <c r="B95" s="62"/>
      <c r="C95" s="63" t="s">
        <v>20</v>
      </c>
      <c r="D95" s="102">
        <f>$C$3</f>
        <v>2023</v>
      </c>
      <c r="E95" s="102">
        <f>$C$3+1</f>
        <v>2024</v>
      </c>
      <c r="F95" s="102">
        <f>$C$3+2</f>
        <v>2025</v>
      </c>
      <c r="G95" s="102">
        <f>$C$3+3</f>
        <v>2026</v>
      </c>
      <c r="H95" s="102">
        <f>$C$3+4</f>
        <v>2027</v>
      </c>
      <c r="I95" s="278" t="str">
        <f>"Ετήσιος ρυθμός ανάπτυξης (CAGR) "&amp;$C$3&amp;" - "&amp;$E$3</f>
        <v>Ετήσιος ρυθμός ανάπτυξης (CAGR) 2023 - 2027</v>
      </c>
    </row>
    <row r="96" spans="2:33" outlineLevel="1" x14ac:dyDescent="0.25">
      <c r="B96" s="281" t="s">
        <v>283</v>
      </c>
      <c r="C96" s="64" t="s">
        <v>57</v>
      </c>
      <c r="D96" s="323">
        <f>IFERROR('Ενεργές συνδέσεις'!X14/'Ανάπτυξη δικτύου'!X38,0)</f>
        <v>0.30599999999999999</v>
      </c>
      <c r="E96" s="323">
        <f>IFERROR('Ενεργές συνδέσεις'!AC14/'Ανάπτυξη δικτύου'!AA38,0)</f>
        <v>0.42</v>
      </c>
      <c r="F96" s="323">
        <f>IFERROR('Ενεργές συνδέσεις'!AH14/'Ανάπτυξη δικτύου'!AD38,0)</f>
        <v>0</v>
      </c>
      <c r="G96" s="323">
        <f>IFERROR('Ενεργές συνδέσεις'!AM14/'Ανάπτυξη δικτύου'!AG38,0)</f>
        <v>0</v>
      </c>
      <c r="H96" s="323">
        <f>IFERROR('Ενεργές συνδέσεις'!AR14/'Ανάπτυξη δικτύου'!AJ38,0)</f>
        <v>0</v>
      </c>
      <c r="I96" s="237">
        <f t="shared" ref="I96:I99" si="12">IFERROR((H96/D96)^(1/4)-1,0)</f>
        <v>-1</v>
      </c>
    </row>
    <row r="97" spans="2:9" outlineLevel="1" x14ac:dyDescent="0.25">
      <c r="B97" s="52" t="s">
        <v>284</v>
      </c>
      <c r="C97" s="64" t="s">
        <v>57</v>
      </c>
      <c r="D97" s="323">
        <f>IFERROR('Ενεργές συνδέσεις'!X15/'Ανάπτυξη δικτύου'!X39,0)</f>
        <v>2.2459396751740138E-2</v>
      </c>
      <c r="E97" s="323">
        <f>IFERROR('Ενεργές συνδέσεις'!AC15/'Ανάπτυξη δικτύου'!AA39,0)</f>
        <v>0.28999999999999998</v>
      </c>
      <c r="F97" s="323">
        <f>IFERROR('Ενεργές συνδέσεις'!AH15/'Ανάπτυξη δικτύου'!AD39,0)</f>
        <v>0.26800000000000002</v>
      </c>
      <c r="G97" s="323">
        <f>IFERROR('Ενεργές συνδέσεις'!AM15/'Ανάπτυξη δικτύου'!AG39,0)</f>
        <v>6.8000000000000005E-2</v>
      </c>
      <c r="H97" s="323">
        <f>IFERROR('Ενεργές συνδέσεις'!AR15/'Ανάπτυξη δικτύου'!AJ39,0)</f>
        <v>1.4E-2</v>
      </c>
      <c r="I97" s="237">
        <f t="shared" si="12"/>
        <v>-0.11144873984617831</v>
      </c>
    </row>
    <row r="98" spans="2:9" outlineLevel="1" x14ac:dyDescent="0.25">
      <c r="B98" s="52" t="s">
        <v>285</v>
      </c>
      <c r="C98" s="64" t="s">
        <v>57</v>
      </c>
      <c r="D98" s="323">
        <f>IFERROR('Ενεργές συνδέσεις'!X16/'Ανάπτυξη δικτύου'!X40,0)</f>
        <v>2.9318348399706817E-2</v>
      </c>
      <c r="E98" s="323">
        <f>IFERROR('Ενεργές συνδέσεις'!AC16/'Ανάπτυξη δικτύου'!AA40,0)</f>
        <v>0.28399999999999997</v>
      </c>
      <c r="F98" s="323">
        <f>IFERROR('Ενεργές συνδέσεις'!AH16/'Ανάπτυξη δικτύου'!AD40,0)</f>
        <v>0.22600000000000001</v>
      </c>
      <c r="G98" s="323">
        <f>IFERROR('Ενεργές συνδέσεις'!AM16/'Ανάπτυξη δικτύου'!AG40,0)</f>
        <v>6.9000000000000006E-2</v>
      </c>
      <c r="H98" s="323">
        <f>IFERROR('Ενεργές συνδέσεις'!AR16/'Ανάπτυξη δικτύου'!AJ40,0)</f>
        <v>3.6999999999999998E-2</v>
      </c>
      <c r="I98" s="237">
        <f t="shared" si="12"/>
        <v>5.9901619308019072E-2</v>
      </c>
    </row>
    <row r="99" spans="2:9" outlineLevel="1" x14ac:dyDescent="0.25">
      <c r="B99" s="52" t="s">
        <v>286</v>
      </c>
      <c r="C99" s="64" t="s">
        <v>57</v>
      </c>
      <c r="D99" s="323">
        <f>IFERROR('Ενεργές συνδέσεις'!X17/'Ανάπτυξη δικτύου'!X41,0)</f>
        <v>6.0888888888888885E-3</v>
      </c>
      <c r="E99" s="323">
        <f>IFERROR('Ενεργές συνδέσεις'!AC17/'Ανάπτυξη δικτύου'!AA41,0)</f>
        <v>0.57850000000000001</v>
      </c>
      <c r="F99" s="323">
        <f>IFERROR('Ενεργές συνδέσεις'!AH17/'Ανάπτυξη δικτύου'!AD41,0)</f>
        <v>0.41</v>
      </c>
      <c r="G99" s="323">
        <f>IFERROR('Ενεργές συνδέσεις'!AM17/'Ανάπτυξη δικτύου'!AG41,0)</f>
        <v>0.151</v>
      </c>
      <c r="H99" s="323">
        <f>IFERROR('Ενεργές συνδέσεις'!AR17/'Ανάπτυξη δικτύου'!AJ41,0)</f>
        <v>8.0500000000000002E-2</v>
      </c>
      <c r="I99" s="237">
        <f t="shared" si="12"/>
        <v>0.90684089672826906</v>
      </c>
    </row>
    <row r="100" spans="2:9" outlineLevel="1" x14ac:dyDescent="0.25">
      <c r="B100" s="52" t="s">
        <v>287</v>
      </c>
      <c r="C100" s="64" t="s">
        <v>57</v>
      </c>
      <c r="D100" s="323">
        <f>IFERROR('Ενεργές συνδέσεις'!X18/'Ανάπτυξη δικτύου'!X42,0)</f>
        <v>0</v>
      </c>
      <c r="E100" s="323">
        <f>IFERROR('Ενεργές συνδέσεις'!AC18/'Ανάπτυξη δικτύου'!AA42,0)</f>
        <v>0.51700000000000002</v>
      </c>
      <c r="F100" s="323">
        <f>IFERROR('Ενεργές συνδέσεις'!AH18/'Ανάπτυξη δικτύου'!AD42,0)</f>
        <v>0.40450000000000003</v>
      </c>
      <c r="G100" s="323">
        <f>IFERROR('Ενεργές συνδέσεις'!AM18/'Ανάπτυξη δικτύου'!AG42,0)</f>
        <v>0.34949999999999998</v>
      </c>
      <c r="H100" s="323">
        <f>IFERROR('Ενεργές συνδέσεις'!AR18/'Ανάπτυξη δικτύου'!AJ42,0)</f>
        <v>0.17849999999999999</v>
      </c>
      <c r="I100" s="237">
        <f t="shared" ref="I100:I103" si="13">IFERROR((H100/D100)^(1/4)-1,0)</f>
        <v>0</v>
      </c>
    </row>
    <row r="101" spans="2:9" outlineLevel="1" x14ac:dyDescent="0.25">
      <c r="B101" s="52" t="s">
        <v>288</v>
      </c>
      <c r="C101" s="64" t="s">
        <v>57</v>
      </c>
      <c r="D101" s="323">
        <f>IFERROR('Ενεργές συνδέσεις'!X19/'Ανάπτυξη δικτύου'!X43,0)</f>
        <v>1.5722222222222221E-2</v>
      </c>
      <c r="E101" s="323">
        <f>IFERROR('Ενεργές συνδέσεις'!AC19/'Ανάπτυξη δικτύου'!AA43,0)</f>
        <v>0.185</v>
      </c>
      <c r="F101" s="323">
        <f>IFERROR('Ενεργές συνδέσεις'!AH19/'Ανάπτυξη δικτύου'!AD43,0)</f>
        <v>5.7750000000000003E-2</v>
      </c>
      <c r="G101" s="323">
        <f>IFERROR('Ενεργές συνδέσεις'!AM19/'Ανάπτυξη δικτύου'!AG43,0)</f>
        <v>2.7E-2</v>
      </c>
      <c r="H101" s="323">
        <f>IFERROR('Ενεργές συνδέσεις'!AR19/'Ανάπτυξη δικτύου'!AJ43,0)</f>
        <v>1.4E-2</v>
      </c>
      <c r="I101" s="237">
        <f t="shared" si="13"/>
        <v>-2.8587860787585684E-2</v>
      </c>
    </row>
    <row r="102" spans="2:9" outlineLevel="1" x14ac:dyDescent="0.25">
      <c r="B102" s="52" t="s">
        <v>289</v>
      </c>
      <c r="C102" s="64" t="s">
        <v>57</v>
      </c>
      <c r="D102" s="323">
        <f>IFERROR('Ενεργές συνδέσεις'!X20/'Ανάπτυξη δικτύου'!X44,0)</f>
        <v>1.1825902335456476E-2</v>
      </c>
      <c r="E102" s="323">
        <f>IFERROR('Ενεργές συνδέσεις'!AC20/'Ανάπτυξη δικτύου'!AA44,0)</f>
        <v>0.84050000000000002</v>
      </c>
      <c r="F102" s="323">
        <f>IFERROR('Ενεργές συνδέσεις'!AH20/'Ανάπτυξη δικτύου'!AD44,0)</f>
        <v>0.55100000000000005</v>
      </c>
      <c r="G102" s="323">
        <f>IFERROR('Ενεργές συνδέσεις'!AM20/'Ανάπτυξη δικτύου'!AG44,0)</f>
        <v>0.53649999999999998</v>
      </c>
      <c r="H102" s="323">
        <f>IFERROR('Ενεργές συνδέσεις'!AR20/'Ανάπτυξη δικτύου'!AJ44,0)</f>
        <v>0.27350000000000002</v>
      </c>
      <c r="I102" s="237">
        <f t="shared" si="13"/>
        <v>1.1929602550938041</v>
      </c>
    </row>
    <row r="103" spans="2:9" outlineLevel="1" x14ac:dyDescent="0.25">
      <c r="B103" s="52" t="s">
        <v>290</v>
      </c>
      <c r="C103" s="64" t="s">
        <v>57</v>
      </c>
      <c r="D103" s="323">
        <f>IFERROR('Ενεργές συνδέσεις'!X21/'Ανάπτυξη δικτύου'!X45,0)</f>
        <v>1.06E-2</v>
      </c>
      <c r="E103" s="323">
        <f>IFERROR('Ενεργές συνδέσεις'!AC21/'Ανάπτυξη δικτύου'!AA45,0)</f>
        <v>0.75749999999999995</v>
      </c>
      <c r="F103" s="323">
        <f>IFERROR('Ενεργές συνδέσεις'!AH21/'Ανάπτυξη δικτύου'!AD45,0)</f>
        <v>0.63749999999999996</v>
      </c>
      <c r="G103" s="323">
        <f>IFERROR('Ενεργές συνδέσεις'!AM21/'Ανάπτυξη δικτύου'!AG45,0)</f>
        <v>0.53749999999999998</v>
      </c>
      <c r="H103" s="323">
        <f>IFERROR('Ενεργές συνδέσεις'!AR21/'Ανάπτυξη δικτύου'!AJ45,0)</f>
        <v>0.27350000000000002</v>
      </c>
      <c r="I103" s="237">
        <f t="shared" si="13"/>
        <v>1.2537869835535136</v>
      </c>
    </row>
    <row r="104" spans="2:9" outlineLevel="1" x14ac:dyDescent="0.25">
      <c r="B104" s="52" t="s">
        <v>291</v>
      </c>
      <c r="C104" s="64" t="s">
        <v>57</v>
      </c>
      <c r="D104" s="323">
        <f>IFERROR('Ενεργές συνδέσεις'!X22/'Ανάπτυξη δικτύου'!X46,0)</f>
        <v>4.6519949901592417E-2</v>
      </c>
      <c r="E104" s="323">
        <f>IFERROR('Ενεργές συνδέσεις'!AC22/'Ανάπτυξη δικτύου'!AA46,0)</f>
        <v>0</v>
      </c>
      <c r="F104" s="323">
        <f>IFERROR('Ενεργές συνδέσεις'!AH22/'Ανάπτυξη δικτύου'!AD46,0)</f>
        <v>0</v>
      </c>
      <c r="G104" s="323">
        <f>IFERROR('Ενεργές συνδέσεις'!AM22/'Ανάπτυξη δικτύου'!AG46,0)</f>
        <v>0</v>
      </c>
      <c r="H104" s="323">
        <f>IFERROR('Ενεργές συνδέσεις'!AR22/'Ανάπτυξη δικτύου'!AJ46,0)</f>
        <v>0</v>
      </c>
      <c r="I104" s="237">
        <f t="shared" ref="I104:I110" si="14">IFERROR((H104/D104)^(1/4)-1,0)</f>
        <v>-1</v>
      </c>
    </row>
    <row r="105" spans="2:9" outlineLevel="1" x14ac:dyDescent="0.25">
      <c r="B105" s="52" t="s">
        <v>307</v>
      </c>
      <c r="C105" s="64" t="s">
        <v>57</v>
      </c>
      <c r="D105" s="323">
        <f>IFERROR('Ενεργές συνδέσεις'!X23/'Ανάπτυξη δικτύου'!X47,0)</f>
        <v>1.1818181818181818E-2</v>
      </c>
      <c r="E105" s="323">
        <f>IFERROR('Ενεργές συνδέσεις'!AC23/'Ανάπτυξη δικτύου'!AA47,0)</f>
        <v>2.6857142857142857E-2</v>
      </c>
      <c r="F105" s="323">
        <f>IFERROR('Ενεργές συνδέσεις'!AH23/'Ανάπτυξη δικτύου'!AD47,0)</f>
        <v>3.3666666666666664E-2</v>
      </c>
      <c r="G105" s="323">
        <f>IFERROR('Ενεργές συνδέσεις'!AM23/'Ανάπτυξη δικτύου'!AG47,0)</f>
        <v>0.06</v>
      </c>
      <c r="H105" s="323">
        <f>IFERROR('Ενεργές συνδέσεις'!AR23/'Ανάπτυξη δικτύου'!AJ47,0)</f>
        <v>4.9000000000000002E-2</v>
      </c>
      <c r="I105" s="237">
        <f t="shared" si="14"/>
        <v>0.4269585342922857</v>
      </c>
    </row>
    <row r="106" spans="2:9" outlineLevel="1" x14ac:dyDescent="0.25">
      <c r="B106" s="52" t="s">
        <v>304</v>
      </c>
      <c r="C106" s="64" t="s">
        <v>57</v>
      </c>
      <c r="D106" s="323">
        <f>IFERROR('Ενεργές συνδέσεις'!X24/'Ανάπτυξη δικτύου'!X48,0)</f>
        <v>1.1833333333333333E-2</v>
      </c>
      <c r="E106" s="323">
        <f>IFERROR('Ενεργές συνδέσεις'!AC24/'Ανάπτυξη δικτύου'!AA48,0)</f>
        <v>1.5666666666666666E-2</v>
      </c>
      <c r="F106" s="323">
        <f>IFERROR('Ενεργές συνδέσεις'!AH24/'Ανάπτυξη δικτύου'!AD48,0)</f>
        <v>0.05</v>
      </c>
      <c r="G106" s="323">
        <f>IFERROR('Ενεργές συνδέσεις'!AM24/'Ανάπτυξη δικτύου'!AG48,0)</f>
        <v>2.3333333333333334E-2</v>
      </c>
      <c r="H106" s="323">
        <f>IFERROR('Ενεργές συνδέσεις'!AR24/'Ανάπτυξη δικτύου'!AJ48,0)</f>
        <v>1.6333333333333332E-2</v>
      </c>
      <c r="I106" s="237">
        <f t="shared" si="14"/>
        <v>8.390677717936823E-2</v>
      </c>
    </row>
    <row r="107" spans="2:9" outlineLevel="1" x14ac:dyDescent="0.25">
      <c r="B107" s="52" t="s">
        <v>305</v>
      </c>
      <c r="C107" s="64" t="s">
        <v>57</v>
      </c>
      <c r="D107" s="323">
        <f>IFERROR('Ενεργές συνδέσεις'!X25/'Ανάπτυξη δικτύου'!X49,0)</f>
        <v>9.571428571428571E-3</v>
      </c>
      <c r="E107" s="323">
        <f>IFERROR('Ενεργές συνδέσεις'!AC25/'Ανάπτυξη δικτύου'!AA49,0)</f>
        <v>1.8800000000000001E-2</v>
      </c>
      <c r="F107" s="323">
        <f>IFERROR('Ενεργές συνδέσεις'!AH25/'Ανάπτυξη δικτύου'!AD49,0)</f>
        <v>6.5000000000000002E-2</v>
      </c>
      <c r="G107" s="323">
        <f>IFERROR('Ενεργές συνδέσεις'!AM25/'Ανάπτυξη δικτύου'!AG49,0)</f>
        <v>0.03</v>
      </c>
      <c r="H107" s="323">
        <f>IFERROR('Ενεργές συνδέσεις'!AR25/'Ανάπτυξη δικτύου'!AJ49,0)</f>
        <v>4.9000000000000002E-2</v>
      </c>
      <c r="I107" s="237">
        <f t="shared" si="14"/>
        <v>0.5041973850010808</v>
      </c>
    </row>
    <row r="108" spans="2:9" outlineLevel="1" x14ac:dyDescent="0.25">
      <c r="B108" s="52" t="s">
        <v>306</v>
      </c>
      <c r="C108" s="64" t="s">
        <v>57</v>
      </c>
      <c r="D108" s="323">
        <f>IFERROR('Ενεργές συνδέσεις'!X26/'Ανάπτυξη δικτύου'!X50,0)</f>
        <v>5.0999999999999997E-2</v>
      </c>
      <c r="E108" s="323">
        <f>IFERROR('Ενεργές συνδέσεις'!AC26/'Ανάπτυξη δικτύου'!AA50,0)</f>
        <v>5.8333333333333334E-2</v>
      </c>
      <c r="F108" s="323">
        <f>IFERROR('Ενεργές συνδέσεις'!AH26/'Ανάπτυξη δικτύου'!AD50,0)</f>
        <v>0.10150000000000001</v>
      </c>
      <c r="G108" s="323">
        <f>IFERROR('Ενεργές συνδέσεις'!AM26/'Ανάπτυξη δικτύου'!AG50,0)</f>
        <v>0.12266666666666666</v>
      </c>
      <c r="H108" s="323">
        <f>IFERROR('Ενεργές συνδέσεις'!AR26/'Ανάπτυξη δικτύου'!AJ50,0)</f>
        <v>0.13</v>
      </c>
      <c r="I108" s="237">
        <f t="shared" si="14"/>
        <v>0.26355250783831408</v>
      </c>
    </row>
    <row r="109" spans="2:9" outlineLevel="1" x14ac:dyDescent="0.25">
      <c r="B109" s="52" t="s">
        <v>308</v>
      </c>
      <c r="C109" s="64" t="s">
        <v>57</v>
      </c>
      <c r="D109" s="323">
        <f>IFERROR('Ενεργές συνδέσεις'!X27/'Ανάπτυξη δικτύου'!X51,0)</f>
        <v>4.0666666666666663E-2</v>
      </c>
      <c r="E109" s="323">
        <f>IFERROR('Ενεργές συνδέσεις'!AC27/'Ανάπτυξη δικτύου'!AA51,0)</f>
        <v>5.4666666666666669E-2</v>
      </c>
      <c r="F109" s="323">
        <f>IFERROR('Ενεργές συνδέσεις'!AH27/'Ανάπτυξη δικτύου'!AD51,0)</f>
        <v>7.3599999999999999E-2</v>
      </c>
      <c r="G109" s="323">
        <f>IFERROR('Ενεργές συνδέσεις'!AM27/'Ανάπτυξη δικτύου'!AG51,0)</f>
        <v>7.5999999999999998E-2</v>
      </c>
      <c r="H109" s="323">
        <f>IFERROR('Ενεργές συνδέσεις'!AR27/'Ανάπτυξη δικτύου'!AJ51,0)</f>
        <v>0.14499999999999999</v>
      </c>
      <c r="I109" s="237">
        <f t="shared" si="14"/>
        <v>0.37414435011373093</v>
      </c>
    </row>
    <row r="110" spans="2:9" outlineLevel="1" x14ac:dyDescent="0.25">
      <c r="B110" s="52"/>
      <c r="C110" s="64"/>
      <c r="D110" s="323">
        <f>IFERROR('Ενεργές συνδέσεις'!X28/'Ανάπτυξη δικτύου'!X52,0)</f>
        <v>0</v>
      </c>
      <c r="E110" s="323">
        <f>IFERROR('Ενεργές συνδέσεις'!AC28/'Ανάπτυξη δικτύου'!AA52,0)</f>
        <v>0</v>
      </c>
      <c r="F110" s="323">
        <f>IFERROR('Ενεργές συνδέσεις'!AH28/'Ανάπτυξη δικτύου'!AD52,0)</f>
        <v>0</v>
      </c>
      <c r="G110" s="323">
        <f>IFERROR('Ενεργές συνδέσεις'!AM28/'Ανάπτυξη δικτύου'!AG52,0)</f>
        <v>0</v>
      </c>
      <c r="H110" s="323">
        <f>IFERROR('Ενεργές συνδέσεις'!AR28/'Ανάπτυξη δικτύου'!AJ52,0)</f>
        <v>0</v>
      </c>
      <c r="I110" s="237">
        <f t="shared" si="14"/>
        <v>0</v>
      </c>
    </row>
    <row r="111" spans="2:9" outlineLevel="1" x14ac:dyDescent="0.25">
      <c r="B111" s="349" t="s">
        <v>90</v>
      </c>
      <c r="C111" s="350"/>
      <c r="D111" s="350"/>
      <c r="E111" s="350"/>
      <c r="F111" s="350"/>
      <c r="G111" s="350"/>
      <c r="H111" s="350"/>
      <c r="I111" s="397"/>
    </row>
    <row r="112" spans="2:9" outlineLevel="1" x14ac:dyDescent="0.25">
      <c r="B112" s="52" t="s">
        <v>82</v>
      </c>
      <c r="C112" s="49" t="s">
        <v>57</v>
      </c>
      <c r="D112" s="226">
        <f>IFERROR('Ενεργές συνδέσεις'!X30/'Ανάπτυξη δικτύου'!X54,0)</f>
        <v>9.9705478107205963E-3</v>
      </c>
      <c r="E112" s="226">
        <f>IFERROR('Ενεργές συνδέσεις'!AC30/'Ανάπτυξη δικτύου'!AA54,0)</f>
        <v>0.2026060606060606</v>
      </c>
      <c r="F112" s="226">
        <f>IFERROR('Ενεργές συνδέσεις'!AH30/'Ανάπτυξη δικτύου'!AD54,0)</f>
        <v>0.18377358490566037</v>
      </c>
      <c r="G112" s="226">
        <f>IFERROR('Ενεργές συνδέσεις'!AM30/'Ανάπτυξη δικτύου'!AG54,0)</f>
        <v>0.15813953488372093</v>
      </c>
      <c r="H112" s="226">
        <f>IFERROR('Ενεργές συνδέσεις'!AR30/'Ανάπτυξη δικτύου'!AJ54,0)</f>
        <v>9.0999999999999998E-2</v>
      </c>
      <c r="I112" s="237">
        <f>IFERROR((H112/D112)^(1/4)-1,0)</f>
        <v>0.73812334622630482</v>
      </c>
    </row>
    <row r="114" spans="2:33" ht="15.75" x14ac:dyDescent="0.25">
      <c r="B114" s="352" t="s">
        <v>44</v>
      </c>
      <c r="C114" s="352"/>
      <c r="D114" s="352"/>
      <c r="E114" s="352"/>
      <c r="F114" s="352"/>
      <c r="G114" s="352"/>
      <c r="H114" s="352"/>
      <c r="I114" s="352"/>
    </row>
    <row r="115" spans="2:33" ht="5.45" customHeight="1" outlineLevel="1" x14ac:dyDescent="0.2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row>
    <row r="116" spans="2:33" ht="45" outlineLevel="1" x14ac:dyDescent="0.25">
      <c r="B116" s="62"/>
      <c r="C116" s="63" t="s">
        <v>20</v>
      </c>
      <c r="D116" s="102">
        <f>$C$3</f>
        <v>2023</v>
      </c>
      <c r="E116" s="102">
        <f>$C$3+1</f>
        <v>2024</v>
      </c>
      <c r="F116" s="102">
        <f>$C$3+2</f>
        <v>2025</v>
      </c>
      <c r="G116" s="102">
        <f>$C$3+3</f>
        <v>2026</v>
      </c>
      <c r="H116" s="102">
        <f>$C$3+4</f>
        <v>2027</v>
      </c>
      <c r="I116" s="278" t="str">
        <f>"Ετήσιος ρυθμός ανάπτυξης (CAGR) "&amp;$C$3&amp;" - "&amp;$E$3</f>
        <v>Ετήσιος ρυθμός ανάπτυξης (CAGR) 2023 - 2027</v>
      </c>
    </row>
    <row r="117" spans="2:33" outlineLevel="1" x14ac:dyDescent="0.25">
      <c r="B117" s="281" t="s">
        <v>283</v>
      </c>
      <c r="C117" s="64" t="s">
        <v>56</v>
      </c>
      <c r="D117" s="323">
        <f>IFERROR('Διανεμόμενες ποσότητες αερίου'!R15/'Ανάπτυξη δικτύου'!X38,0)</f>
        <v>11.87</v>
      </c>
      <c r="E117" s="323">
        <f>IFERROR('Διανεμόμενες ποσότητες αερίου'!X15/'Ανάπτυξη δικτύου'!AA38,0)</f>
        <v>28.091999999999999</v>
      </c>
      <c r="F117" s="323">
        <f>IFERROR('Διανεμόμενες ποσότητες αερίου'!AD15/'Ανάπτυξη δικτύου'!AD38,0)</f>
        <v>0</v>
      </c>
      <c r="G117" s="323">
        <f>IFERROR('Διανεμόμενες ποσότητες αερίου'!AJ15/'Ανάπτυξη δικτύου'!AG38,0)</f>
        <v>0</v>
      </c>
      <c r="H117" s="323">
        <f>IFERROR('Διανεμόμενες ποσότητες αερίου'!AP15/'Ανάπτυξη δικτύου'!AJ38,0)</f>
        <v>0</v>
      </c>
      <c r="I117" s="237">
        <f t="shared" ref="I117:I120" si="15">IFERROR((H117/D117)^(1/4)-1,0)</f>
        <v>-1</v>
      </c>
    </row>
    <row r="118" spans="2:33" outlineLevel="1" x14ac:dyDescent="0.25">
      <c r="B118" s="52" t="s">
        <v>284</v>
      </c>
      <c r="C118" s="64" t="s">
        <v>56</v>
      </c>
      <c r="D118" s="323">
        <f>IFERROR('Διανεμόμενες ποσότητες αερίου'!R16/'Ανάπτυξη δικτύου'!X39,0)</f>
        <v>0.47842227378190255</v>
      </c>
      <c r="E118" s="323">
        <f>IFERROR('Διανεμόμενες ποσότητες αερίου'!X16/'Ανάπτυξη δικτύου'!AA39,0)</f>
        <v>11.243823529411763</v>
      </c>
      <c r="F118" s="323">
        <f>IFERROR('Διανεμόμενες ποσότητες αερίου'!AD16/'Ανάπτυξη δικτύου'!AD39,0)</f>
        <v>16.812647058823529</v>
      </c>
      <c r="G118" s="323">
        <f>IFERROR('Διανεμόμενες ποσότητες αερίου'!AJ16/'Ανάπτυξη δικτύου'!AG39,0)</f>
        <v>18.172647058823529</v>
      </c>
      <c r="H118" s="323">
        <f>IFERROR('Διανεμόμενες ποσότητες αερίου'!AP16/'Ανάπτυξη δικτύου'!AJ39,0)</f>
        <v>18.452647058823526</v>
      </c>
      <c r="I118" s="237">
        <f t="shared" si="15"/>
        <v>1.4920790892599518</v>
      </c>
    </row>
    <row r="119" spans="2:33" outlineLevel="1" x14ac:dyDescent="0.25">
      <c r="B119" s="52" t="s">
        <v>285</v>
      </c>
      <c r="C119" s="64" t="s">
        <v>56</v>
      </c>
      <c r="D119" s="323">
        <f>IFERROR('Διανεμόμενες ποσότητες αερίου'!R17/'Ανάπτυξη δικτύου'!X40,0)</f>
        <v>0.62301490349376987</v>
      </c>
      <c r="E119" s="323">
        <f>IFERROR('Διανεμόμενες ποσότητες αερίου'!X17/'Ανάπτυξη δικτύου'!AA40,0)</f>
        <v>11.202777777777778</v>
      </c>
      <c r="F119" s="323">
        <f>IFERROR('Διανεμόμενες ποσότητες αερίου'!AD17/'Ανάπτυξη δικτύου'!AD40,0)</f>
        <v>16.065833333333334</v>
      </c>
      <c r="G119" s="323">
        <f>IFERROR('Διανεμόμενες ποσότητες αερίου'!AJ17/'Ανάπτυξη δικτύου'!AG40,0)</f>
        <v>17.470833333333331</v>
      </c>
      <c r="H119" s="323">
        <f>IFERROR('Διανεμόμενες ποσότητες αερίου'!AP17/'Ανάπτυξη δικτύου'!AJ40,0)</f>
        <v>18.210833333333333</v>
      </c>
      <c r="I119" s="237">
        <f t="shared" si="15"/>
        <v>1.3251867847946039</v>
      </c>
    </row>
    <row r="120" spans="2:33" outlineLevel="1" x14ac:dyDescent="0.25">
      <c r="B120" s="52" t="s">
        <v>286</v>
      </c>
      <c r="C120" s="64" t="s">
        <v>56</v>
      </c>
      <c r="D120" s="323">
        <f>IFERROR('Διανεμόμενες ποσότητες αερίου'!R18/'Ανάπτυξη δικτύου'!X41,0)</f>
        <v>0.11715555555555555</v>
      </c>
      <c r="E120" s="323">
        <f>IFERROR('Διανεμόμενες ποσότητες αερίου'!X18/'Ανάπτυξη δικτύου'!AA41,0)</f>
        <v>37.811999999999998</v>
      </c>
      <c r="F120" s="323">
        <f>IFERROR('Διανεμόμενες ποσότητες αερίου'!AD18/'Ανάπτυξη δικτύου'!AD41,0)</f>
        <v>66.081500000000005</v>
      </c>
      <c r="G120" s="323">
        <f>IFERROR('Διανεμόμενες ποσότητες αερίου'!AJ18/'Ανάπτυξη δικτύου'!AG41,0)</f>
        <v>99.161249999999995</v>
      </c>
      <c r="H120" s="323">
        <f>IFERROR('Διανεμόμενες ποσότητες αερίου'!AP18/'Ανάπτυξη δικτύου'!AJ41,0)</f>
        <v>113.81425</v>
      </c>
      <c r="I120" s="237">
        <f t="shared" si="15"/>
        <v>4.5828818660777619</v>
      </c>
    </row>
    <row r="121" spans="2:33" outlineLevel="1" x14ac:dyDescent="0.25">
      <c r="B121" s="52" t="s">
        <v>287</v>
      </c>
      <c r="C121" s="64" t="s">
        <v>56</v>
      </c>
      <c r="D121" s="323">
        <f>IFERROR('Διανεμόμενες ποσότητες αερίου'!R19/'Ανάπτυξη δικτύου'!X42,0)</f>
        <v>0</v>
      </c>
      <c r="E121" s="323">
        <f>IFERROR('Διανεμόμενες ποσότητες αερίου'!X19/'Ανάπτυξη δικτύου'!AA42,0)</f>
        <v>54.15</v>
      </c>
      <c r="F121" s="323">
        <f>IFERROR('Διανεμόμενες ποσότητες αερίου'!AD19/'Ανάπτυξη δικτύου'!AD42,0)</f>
        <v>82.402500000000003</v>
      </c>
      <c r="G121" s="323">
        <f>IFERROR('Διανεμόμενες ποσότητες αερίου'!AJ19/'Ανάπτυξη δικτύου'!AG42,0)</f>
        <v>99.447500000000005</v>
      </c>
      <c r="H121" s="323">
        <f>IFERROR('Διανεμόμενες ποσότητες αερίου'!AP19/'Ανάπτυξη δικτύου'!AJ42,0)</f>
        <v>112.96250000000001</v>
      </c>
      <c r="I121" s="237">
        <f t="shared" ref="I121:I124" si="16">IFERROR((H121/D121)^(1/4)-1,0)</f>
        <v>0</v>
      </c>
    </row>
    <row r="122" spans="2:33" outlineLevel="1" x14ac:dyDescent="0.25">
      <c r="B122" s="52" t="s">
        <v>288</v>
      </c>
      <c r="C122" s="64" t="s">
        <v>56</v>
      </c>
      <c r="D122" s="323">
        <f>IFERROR('Διανεμόμενες ποσότητες αερίου'!R20/'Ανάπτυξη δικτύου'!X43,0)</f>
        <v>0.48588888888888887</v>
      </c>
      <c r="E122" s="323">
        <f>IFERROR('Διανεμόμενες ποσότητες αερίου'!X20/'Ανάπτυξη δικτύου'!AA43,0)</f>
        <v>28.1005</v>
      </c>
      <c r="F122" s="323">
        <f>IFERROR('Διανεμόμενες ποσότητες αερίου'!AD20/'Ανάπτυξη δικτύου'!AD43,0)</f>
        <v>25.209</v>
      </c>
      <c r="G122" s="323">
        <f>IFERROR('Διανεμόμενες ποσότητες αερίου'!AJ20/'Ανάπτυξη δικτύου'!AG43,0)</f>
        <v>60.955500000000001</v>
      </c>
      <c r="H122" s="323">
        <f>IFERROR('Διανεμόμενες ποσότητες αερίου'!AP20/'Ανάπτυξη δικτύου'!AJ43,0)</f>
        <v>61.230499999999999</v>
      </c>
      <c r="I122" s="237">
        <f t="shared" si="16"/>
        <v>2.3504852432321379</v>
      </c>
    </row>
    <row r="123" spans="2:33" outlineLevel="1" x14ac:dyDescent="0.25">
      <c r="B123" s="52" t="s">
        <v>289</v>
      </c>
      <c r="C123" s="64" t="s">
        <v>56</v>
      </c>
      <c r="D123" s="323">
        <f>IFERROR('Διανεμόμενες ποσότητες αερίου'!R21/'Ανάπτυξη δικτύου'!X44,0)</f>
        <v>0.25997876857749469</v>
      </c>
      <c r="E123" s="323">
        <f>IFERROR('Διανεμόμενες ποσότητες αερίου'!X21/'Ανάπτυξη δικτύου'!AA44,0)</f>
        <v>46.372</v>
      </c>
      <c r="F123" s="323">
        <f>IFERROR('Διανεμόμενες ποσότητες αερίου'!AD21/'Ανάπτυξη δικτύου'!AD44,0)</f>
        <v>77.579499999999996</v>
      </c>
      <c r="G123" s="323">
        <f>IFERROR('Διανεμόμενες ποσότητες αερίου'!AJ21/'Ανάπτυξη δικτύου'!AG44,0)</f>
        <v>98.409499999999994</v>
      </c>
      <c r="H123" s="323">
        <f>IFERROR('Διανεμόμενες ποσότητες αερίου'!AP21/'Ανάπτυξη δικτύου'!AJ44,0)</f>
        <v>113.7445</v>
      </c>
      <c r="I123" s="237">
        <f t="shared" si="16"/>
        <v>3.5734941815682362</v>
      </c>
    </row>
    <row r="124" spans="2:33" outlineLevel="1" x14ac:dyDescent="0.25">
      <c r="B124" s="52" t="s">
        <v>290</v>
      </c>
      <c r="C124" s="64" t="s">
        <v>56</v>
      </c>
      <c r="D124" s="323">
        <f>IFERROR('Διανεμόμενες ποσότητες αερίου'!R22/'Ανάπτυξη δικτύου'!X45,0)</f>
        <v>0.22888</v>
      </c>
      <c r="E124" s="323">
        <f>IFERROR('Διανεμόμενες ποσότητες αερίου'!X22/'Ανάπτυξη δικτύου'!AA45,0)</f>
        <v>53.862000000000002</v>
      </c>
      <c r="F124" s="323">
        <f>IFERROR('Διανεμόμενες ποσότητες αερίου'!AD22/'Ανάπτυξη δικτύου'!AD45,0)</f>
        <v>96.772000000000006</v>
      </c>
      <c r="G124" s="323">
        <f>IFERROR('Διανεμόμενες ποσότητες αερίου'!AJ22/'Ανάπτυξη δικτύου'!AG45,0)</f>
        <v>137.602</v>
      </c>
      <c r="H124" s="323">
        <f>IFERROR('Διανεμόμενες ποσότητες αερίου'!AP22/'Ανάπτυξη δικτύου'!AJ45,0)</f>
        <v>152.93700000000001</v>
      </c>
      <c r="I124" s="237">
        <f t="shared" si="16"/>
        <v>4.0842416086306041</v>
      </c>
    </row>
    <row r="125" spans="2:33" outlineLevel="1" x14ac:dyDescent="0.25">
      <c r="B125" s="52" t="s">
        <v>291</v>
      </c>
      <c r="C125" s="64" t="s">
        <v>56</v>
      </c>
      <c r="D125" s="323">
        <f>IFERROR('Διανεμόμενες ποσότητες αερίου'!R23/'Ανάπτυξη δικτύου'!X46,0)</f>
        <v>4.0560028627661477</v>
      </c>
      <c r="E125" s="323">
        <f>IFERROR('Διανεμόμενες ποσότητες αερίου'!X23/'Ανάπτυξη δικτύου'!AA46,0)</f>
        <v>0</v>
      </c>
      <c r="F125" s="323">
        <f>IFERROR('Διανεμόμενες ποσότητες αερίου'!AD23/'Ανάπτυξη δικτύου'!AD46,0)</f>
        <v>0</v>
      </c>
      <c r="G125" s="323">
        <f>IFERROR('Διανεμόμενες ποσότητες αερίου'!AJ23/'Ανάπτυξη δικτύου'!AG46,0)</f>
        <v>0</v>
      </c>
      <c r="H125" s="323">
        <f>IFERROR('Διανεμόμενες ποσότητες αερίου'!AP23/'Ανάπτυξη δικτύου'!AJ46,0)</f>
        <v>0</v>
      </c>
      <c r="I125" s="237">
        <f t="shared" ref="I125:I131" si="17">IFERROR((H125/D125)^(1/4)-1,0)</f>
        <v>-1</v>
      </c>
    </row>
    <row r="126" spans="2:33" outlineLevel="1" x14ac:dyDescent="0.25">
      <c r="B126" s="52" t="s">
        <v>307</v>
      </c>
      <c r="C126" s="64" t="s">
        <v>56</v>
      </c>
      <c r="D126" s="323">
        <f>IFERROR('Διανεμόμενες ποσότητες αερίου'!R24/'Ανάπτυξη δικτύου'!X47,0)</f>
        <v>0.25127272727272726</v>
      </c>
      <c r="E126" s="323">
        <f>IFERROR('Διανεμόμενες ποσότητες αερίου'!X24/'Ανάπτυξη δικτύου'!AA47,0)</f>
        <v>0.96485714285714286</v>
      </c>
      <c r="F126" s="323">
        <f>IFERROR('Διανεμόμενες ποσότητες αερίου'!AD24/'Ανάπτυξη δικτύου'!AD47,0)</f>
        <v>1.8523333333333334</v>
      </c>
      <c r="G126" s="323">
        <f>IFERROR('Διανεμόμενες ποσότητες αερίου'!AJ24/'Ανάπτυξη δικτύου'!AG47,0)</f>
        <v>6.8170000000000002</v>
      </c>
      <c r="H126" s="323">
        <f>IFERROR('Διανεμόμενες ποσότητες αερίου'!AP24/'Ανάπτυξη δικτύου'!AJ47,0)</f>
        <v>7.7569999999999997</v>
      </c>
      <c r="I126" s="237">
        <f t="shared" si="17"/>
        <v>1.3571493988107601</v>
      </c>
    </row>
    <row r="127" spans="2:33" outlineLevel="1" x14ac:dyDescent="0.25">
      <c r="B127" s="52" t="s">
        <v>304</v>
      </c>
      <c r="C127" s="64" t="s">
        <v>56</v>
      </c>
      <c r="D127" s="323">
        <f>IFERROR('Διανεμόμενες ποσότητες αερίου'!R25/'Ανάπτυξη δικτύου'!X48,0)</f>
        <v>0.255</v>
      </c>
      <c r="E127" s="323">
        <f>IFERROR('Διανεμόμενες ποσότητες αερίου'!X25/'Ανάπτυξη δικτύου'!AA48,0)</f>
        <v>0.58750000000000002</v>
      </c>
      <c r="F127" s="323">
        <f>IFERROR('Διανεμόμενες ποσότητες αερίου'!AD25/'Ανάπτυξη δικτύου'!AD48,0)</f>
        <v>2.2149999999999999</v>
      </c>
      <c r="G127" s="323">
        <f>IFERROR('Διανεμόμενες ποσότητες αερίου'!AJ25/'Ανάπτυξη δικτύου'!AG48,0)</f>
        <v>2.7016666666666667</v>
      </c>
      <c r="H127" s="323">
        <f>IFERROR('Διανεμόμενες ποσότητες αερίου'!AP25/'Ανάπτυξη δικτύου'!AJ48,0)</f>
        <v>3.0150000000000001</v>
      </c>
      <c r="I127" s="237">
        <f t="shared" si="17"/>
        <v>0.85432897301394095</v>
      </c>
    </row>
    <row r="128" spans="2:33" outlineLevel="1" x14ac:dyDescent="0.25">
      <c r="B128" s="52" t="s">
        <v>305</v>
      </c>
      <c r="C128" s="64" t="s">
        <v>56</v>
      </c>
      <c r="D128" s="323">
        <f>IFERROR('Διανεμόμενες ποσότητες αερίου'!R26/'Ανάπτυξη δικτύου'!X49,0)</f>
        <v>0.20499999999999999</v>
      </c>
      <c r="E128" s="323">
        <f>IFERROR('Διανεμόμενες ποσότητες αερίου'!X26/'Ανάπτυξη δικτύου'!AA49,0)</f>
        <v>0.68600000000000005</v>
      </c>
      <c r="F128" s="323">
        <f>IFERROR('Διανεμόμενες ποσότητες αερίου'!AD26/'Ανάπτυξη δικτύου'!AD49,0)</f>
        <v>3.0750000000000002</v>
      </c>
      <c r="G128" s="323">
        <f>IFERROR('Διανεμόμενες ποσότητες αερίου'!AJ26/'Ανάπτυξη δικτύου'!AG49,0)</f>
        <v>3.7050000000000001</v>
      </c>
      <c r="H128" s="323">
        <f>IFERROR('Διανεμόμενες ποσότητες αερίου'!AP26/'Ανάπτυξη δικτύου'!AJ49,0)</f>
        <v>8.35</v>
      </c>
      <c r="I128" s="237">
        <f t="shared" si="17"/>
        <v>1.5262897128129138</v>
      </c>
    </row>
    <row r="129" spans="2:9" outlineLevel="1" x14ac:dyDescent="0.25">
      <c r="B129" s="52" t="s">
        <v>306</v>
      </c>
      <c r="C129" s="64" t="s">
        <v>56</v>
      </c>
      <c r="D129" s="323">
        <f>IFERROR('Διανεμόμενες ποσότητες αερίου'!R27/'Ανάπτυξη δικτύου'!X50,0)</f>
        <v>0.98</v>
      </c>
      <c r="E129" s="323">
        <f>IFERROR('Διανεμόμενες ποσότητες αερίου'!X27/'Ανάπτυξη δικτύου'!AA50,0)</f>
        <v>2.2816666666666667</v>
      </c>
      <c r="F129" s="323">
        <f>IFERROR('Διανεμόμενες ποσότητες αερίου'!AD27/'Ανάπτυξη δικτύου'!AD50,0)</f>
        <v>5.6124999999999998</v>
      </c>
      <c r="G129" s="323">
        <f>IFERROR('Διανεμόμενες ποσότητες αερίου'!AJ27/'Ανάπτυξη δικτύου'!AG50,0)</f>
        <v>10.136666666666667</v>
      </c>
      <c r="H129" s="323">
        <f>IFERROR('Διανεμόμενες ποσότητες αερίου'!AP27/'Ανάπτυξη δικτύου'!AJ50,0)</f>
        <v>17.754999999999999</v>
      </c>
      <c r="I129" s="237">
        <f t="shared" si="17"/>
        <v>1.0631160147033891</v>
      </c>
    </row>
    <row r="130" spans="2:9" outlineLevel="1" x14ac:dyDescent="0.25">
      <c r="B130" s="52" t="s">
        <v>308</v>
      </c>
      <c r="C130" s="64" t="s">
        <v>56</v>
      </c>
      <c r="D130" s="323">
        <f>IFERROR('Διανεμόμενες ποσότητες αερίου'!R28/'Ανάπτυξη δικτύου'!X51,0)</f>
        <v>0.84</v>
      </c>
      <c r="E130" s="323">
        <f>IFERROR('Διανεμόμενες ποσότητες αερίου'!X28/'Ανάπτυξη δικτύου'!AA51,0)</f>
        <v>2.2149999999999999</v>
      </c>
      <c r="F130" s="323">
        <f>IFERROR('Διανεμόμενες ποσότητες αερίου'!AD28/'Ανάπτυξη δικτύου'!AD51,0)</f>
        <v>4.4359999999999999</v>
      </c>
      <c r="G130" s="323">
        <f>IFERROR('Διανεμόμενες ποσότητες αερίου'!AJ28/'Ανάπτυξη δικτύου'!AG51,0)</f>
        <v>7.4924999999999997</v>
      </c>
      <c r="H130" s="323">
        <f>IFERROR('Διανεμόμενες ποσότητες αερίου'!AP28/'Ανάπτυξη δικτύου'!AJ51,0)</f>
        <v>16.815000000000001</v>
      </c>
      <c r="I130" s="237">
        <f t="shared" si="17"/>
        <v>1.1152144096566468</v>
      </c>
    </row>
    <row r="131" spans="2:9" outlineLevel="1" x14ac:dyDescent="0.25">
      <c r="B131" s="52"/>
      <c r="C131" s="64"/>
      <c r="D131" s="323">
        <f>IFERROR('Διανεμόμενες ποσότητες αερίου'!R29/'Ανάπτυξη δικτύου'!X63,0)</f>
        <v>0</v>
      </c>
      <c r="E131" s="323">
        <f>IFERROR('Διανεμόμενες ποσότητες αερίου'!X29/'Ανάπτυξη δικτύου'!AA63,0)</f>
        <v>0</v>
      </c>
      <c r="F131" s="323">
        <f>IFERROR('Διανεμόμενες ποσότητες αερίου'!AD29/'Ανάπτυξη δικτύου'!AD63,0)</f>
        <v>0</v>
      </c>
      <c r="G131" s="323">
        <f>IFERROR('Διανεμόμενες ποσότητες αερίου'!AJ29/'Ανάπτυξη δικτύου'!AG63,0)</f>
        <v>0</v>
      </c>
      <c r="H131" s="323">
        <f>IFERROR('Διανεμόμενες ποσότητες αερίου'!AP29/'Ανάπτυξη δικτύου'!AJ63,0)</f>
        <v>0</v>
      </c>
      <c r="I131" s="237">
        <f t="shared" si="17"/>
        <v>0</v>
      </c>
    </row>
    <row r="132" spans="2:9" outlineLevel="1" x14ac:dyDescent="0.25">
      <c r="B132" s="349" t="s">
        <v>90</v>
      </c>
      <c r="C132" s="350"/>
      <c r="D132" s="350"/>
      <c r="E132" s="350"/>
      <c r="F132" s="350"/>
      <c r="G132" s="350"/>
      <c r="H132" s="350"/>
      <c r="I132" s="397"/>
    </row>
    <row r="133" spans="2:9" outlineLevel="1" x14ac:dyDescent="0.25">
      <c r="B133" s="52" t="s">
        <v>82</v>
      </c>
      <c r="C133" s="49" t="s">
        <v>56</v>
      </c>
      <c r="D133" s="226">
        <f>IFERROR('Διανεμόμενες ποσότητες αερίου'!R31/'Ανάπτυξη δικτύου'!X54,0)</f>
        <v>0.33918319261731789</v>
      </c>
      <c r="E133" s="226">
        <f>IFERROR('Διανεμόμενες ποσότητες αερίου'!X31/'Ανάπτυξη δικτύου'!AA54,0)</f>
        <v>15.995806100217866</v>
      </c>
      <c r="F133" s="226">
        <f>IFERROR('Διανεμόμενες ποσότητες αερίου'!AD31/'Ανάπτυξη δικτύου'!AD54,0)</f>
        <v>32.673678505364407</v>
      </c>
      <c r="G133" s="226">
        <f>IFERROR('Διανεμόμενες ποσότητες αερίου'!AJ31/'Ανάπτυξη δικτύου'!AG54,0)</f>
        <v>52.414743274053805</v>
      </c>
      <c r="H133" s="226">
        <f>IFERROR('Διανεμόμενες ποσότητες αερίου'!AP31/'Ανάπτυξη δικτύου'!AJ54,0)</f>
        <v>66.022262125902998</v>
      </c>
      <c r="I133" s="237">
        <f>IFERROR((H133/D133)^(1/4)-1,0)</f>
        <v>2.7352013612475448</v>
      </c>
    </row>
  </sheetData>
  <mergeCells count="15">
    <mergeCell ref="J2:L2"/>
    <mergeCell ref="C2:G2"/>
    <mergeCell ref="B9:I9"/>
    <mergeCell ref="B30:I30"/>
    <mergeCell ref="B51:I51"/>
    <mergeCell ref="B27:I27"/>
    <mergeCell ref="B48:I48"/>
    <mergeCell ref="B5:I5"/>
    <mergeCell ref="B69:I69"/>
    <mergeCell ref="B90:I90"/>
    <mergeCell ref="B72:I72"/>
    <mergeCell ref="B111:I111"/>
    <mergeCell ref="B132:I132"/>
    <mergeCell ref="B114:I114"/>
    <mergeCell ref="B93:I93"/>
  </mergeCells>
  <hyperlinks>
    <hyperlink ref="J2" location="'Αρχική σελίδα'!A1" display="Πίσω στην αρχική σελίδα" xr:uid="{CF09721D-2E10-4A0B-8AF6-A0E4C2B557B7}"/>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workbookViewId="0">
      <selection activeCell="N37" sqref="N37"/>
    </sheetView>
  </sheetViews>
  <sheetFormatPr defaultRowHeight="15" x14ac:dyDescent="0.25"/>
  <cols>
    <col min="1" max="1" width="2.85546875" customWidth="1"/>
    <col min="2" max="2" width="23.7109375" customWidth="1"/>
  </cols>
  <sheetData>
    <row r="3" spans="2:17" ht="28.5" x14ac:dyDescent="0.45">
      <c r="B3" s="109" t="s">
        <v>101</v>
      </c>
      <c r="C3" s="110"/>
      <c r="D3" s="110"/>
      <c r="E3" s="110"/>
      <c r="F3" s="110"/>
      <c r="G3" s="110"/>
      <c r="H3" s="110"/>
      <c r="I3" s="110"/>
      <c r="J3" s="110"/>
      <c r="K3" s="110"/>
      <c r="L3" s="110"/>
      <c r="M3" s="110"/>
      <c r="N3" s="110"/>
      <c r="O3" s="110"/>
      <c r="P3" s="110"/>
      <c r="Q3" s="110"/>
    </row>
    <row r="5" spans="2:17" ht="21" x14ac:dyDescent="0.35">
      <c r="B5" s="107" t="s">
        <v>92</v>
      </c>
      <c r="C5" s="110"/>
      <c r="D5" s="110"/>
      <c r="E5" s="110"/>
      <c r="F5" s="110"/>
      <c r="G5" s="110"/>
      <c r="H5" s="110"/>
      <c r="I5" s="110"/>
      <c r="J5" s="110"/>
    </row>
    <row r="6" spans="2:17" ht="21" x14ac:dyDescent="0.35">
      <c r="B6" s="108"/>
    </row>
    <row r="7" spans="2:17" x14ac:dyDescent="0.25">
      <c r="B7" s="244" t="s">
        <v>128</v>
      </c>
    </row>
    <row r="8" spans="2:17" x14ac:dyDescent="0.25">
      <c r="B8" s="244" t="s">
        <v>129</v>
      </c>
    </row>
  </sheetData>
  <hyperlinks>
    <hyperlink ref="B7" location="'Αποτελέσματα ανάλυσης'!A1" display="Αποτελέσματα ανάλυσης" xr:uid="{DE47F44C-60B0-41D8-B5E4-B084E5FB4D91}"/>
    <hyperlink ref="B8" location="'Ανάλυση ανά δήμο'!A1" display="Ανάλυση ανά δήμο" xr:uid="{6E6E1B8A-408D-46DD-BD37-6730B50DDF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27"/>
  <sheetViews>
    <sheetView showGridLines="0" topLeftCell="A11" workbookViewId="0">
      <selection activeCell="B14" sqref="B14"/>
    </sheetView>
  </sheetViews>
  <sheetFormatPr defaultRowHeight="15" x14ac:dyDescent="0.25"/>
  <cols>
    <col min="1" max="1" width="2.85546875" customWidth="1"/>
    <col min="2" max="2" width="27.7109375" customWidth="1"/>
    <col min="3" max="5" width="18.42578125" customWidth="1"/>
  </cols>
  <sheetData>
    <row r="2" spans="2:12" ht="18.75" x14ac:dyDescent="0.3">
      <c r="B2" s="1" t="s">
        <v>1</v>
      </c>
      <c r="C2" s="353" t="str">
        <f>'Αρχική σελίδα'!C3</f>
        <v>HENGAS</v>
      </c>
      <c r="D2" s="353"/>
      <c r="E2" s="353"/>
      <c r="F2" s="353"/>
      <c r="G2" s="353"/>
      <c r="H2" s="353"/>
      <c r="J2" s="354" t="s">
        <v>213</v>
      </c>
      <c r="K2" s="354"/>
      <c r="L2" s="354"/>
    </row>
    <row r="3" spans="2:12" ht="18.75" x14ac:dyDescent="0.3">
      <c r="B3" s="2" t="s">
        <v>2</v>
      </c>
      <c r="C3" s="111">
        <f>'Αρχική σελίδα'!C4</f>
        <v>2023</v>
      </c>
      <c r="D3" s="48" t="s">
        <v>0</v>
      </c>
      <c r="E3" s="48">
        <f>C3+4</f>
        <v>2027</v>
      </c>
    </row>
    <row r="5" spans="2:12" ht="46.15" customHeight="1" x14ac:dyDescent="0.25">
      <c r="B5" s="355" t="s">
        <v>252</v>
      </c>
      <c r="C5" s="355"/>
      <c r="D5" s="355"/>
      <c r="E5" s="355"/>
      <c r="F5" s="355"/>
      <c r="G5" s="355"/>
      <c r="H5" s="355"/>
      <c r="I5" s="355"/>
    </row>
    <row r="6" spans="2:12" x14ac:dyDescent="0.25">
      <c r="B6" s="271"/>
      <c r="C6" s="271"/>
      <c r="D6" s="271"/>
      <c r="E6" s="271"/>
      <c r="F6" s="271"/>
      <c r="G6" s="271"/>
      <c r="H6" s="271"/>
    </row>
    <row r="7" spans="2:12" ht="18.75" x14ac:dyDescent="0.3">
      <c r="B7" s="112" t="s">
        <v>264</v>
      </c>
      <c r="C7" s="113"/>
      <c r="D7" s="113"/>
      <c r="E7" s="113"/>
      <c r="F7" s="113"/>
      <c r="G7" s="113"/>
      <c r="H7" s="113"/>
      <c r="I7" s="113"/>
    </row>
    <row r="9" spans="2:12" ht="15.75" x14ac:dyDescent="0.25">
      <c r="B9" s="352" t="s">
        <v>123</v>
      </c>
      <c r="C9" s="352"/>
      <c r="D9" s="352"/>
      <c r="E9" s="352"/>
    </row>
    <row r="10" spans="2:12" ht="6.6" customHeight="1" x14ac:dyDescent="0.25">
      <c r="B10" s="131"/>
      <c r="C10" s="131"/>
      <c r="D10" s="131"/>
      <c r="E10" s="131"/>
    </row>
    <row r="11" spans="2:12" ht="60" x14ac:dyDescent="0.25">
      <c r="B11" s="58"/>
      <c r="C11" s="80" t="s">
        <v>124</v>
      </c>
      <c r="D11" s="28" t="s">
        <v>118</v>
      </c>
      <c r="E11" s="28" t="s">
        <v>125</v>
      </c>
    </row>
    <row r="12" spans="2:12" x14ac:dyDescent="0.25">
      <c r="B12" s="281" t="s">
        <v>283</v>
      </c>
      <c r="C12" s="6">
        <f>'Ανάλυση ανά δήμο'!D34</f>
        <v>210793.17670172849</v>
      </c>
      <c r="D12" s="318">
        <f>'Ανάλυση ανά δήμο'!D36</f>
        <v>9.7028076291091558E-2</v>
      </c>
      <c r="E12" s="320">
        <v>2046</v>
      </c>
    </row>
    <row r="13" spans="2:12" x14ac:dyDescent="0.25">
      <c r="B13" s="52" t="s">
        <v>284</v>
      </c>
      <c r="C13" s="6">
        <f>'Ανάλυση ανά δήμο'!D70</f>
        <v>12999.299327361165</v>
      </c>
      <c r="D13" s="318">
        <f>'Ανάλυση ανά δήμο'!D72</f>
        <v>7.0745829034869478E-2</v>
      </c>
      <c r="E13" s="320">
        <v>2046</v>
      </c>
    </row>
    <row r="14" spans="2:12" x14ac:dyDescent="0.25">
      <c r="B14" s="52" t="s">
        <v>285</v>
      </c>
      <c r="C14" s="6">
        <f>'Ανάλυση ανά δήμο'!D106</f>
        <v>297395.80520463822</v>
      </c>
      <c r="D14" s="318">
        <f>'Ανάλυση ανά δήμο'!D108</f>
        <v>7.9204612157743659E-2</v>
      </c>
      <c r="E14" s="320">
        <v>2046</v>
      </c>
    </row>
    <row r="15" spans="2:12" x14ac:dyDescent="0.25">
      <c r="B15" s="52" t="s">
        <v>286</v>
      </c>
      <c r="C15" s="6">
        <f>'Ανάλυση ανά δήμο'!D142</f>
        <v>6961604.5947934035</v>
      </c>
      <c r="D15" s="318">
        <f>'Ανάλυση ανά δήμο'!D144</f>
        <v>0.16333973351704789</v>
      </c>
      <c r="E15" s="320">
        <v>2046</v>
      </c>
    </row>
    <row r="16" spans="2:12" x14ac:dyDescent="0.25">
      <c r="B16" s="52" t="s">
        <v>287</v>
      </c>
      <c r="C16" s="272">
        <f>'Ανάλυση ανά δήμο'!D178</f>
        <v>8258515.3753722282</v>
      </c>
      <c r="D16" s="319">
        <f>'Ανάλυση ανά δήμο'!D180</f>
        <v>0.2010688860978378</v>
      </c>
      <c r="E16" s="320">
        <v>2046</v>
      </c>
    </row>
    <row r="17" spans="2:5" x14ac:dyDescent="0.25">
      <c r="B17" s="52" t="s">
        <v>288</v>
      </c>
      <c r="C17" s="272">
        <f>'Ανάλυση ανά δήμο'!D214</f>
        <v>4573994.0641195998</v>
      </c>
      <c r="D17" s="319">
        <f>'Ανάλυση ανά δήμο'!D216</f>
        <v>0.20222449266572617</v>
      </c>
      <c r="E17" s="320">
        <v>2046</v>
      </c>
    </row>
    <row r="18" spans="2:5" x14ac:dyDescent="0.25">
      <c r="B18" s="52" t="s">
        <v>289</v>
      </c>
      <c r="C18" s="272">
        <f>'Ανάλυση ανά δήμο'!D250</f>
        <v>6201239.3431682969</v>
      </c>
      <c r="D18" s="319">
        <f>'Ανάλυση ανά δήμο'!D252</f>
        <v>0.15321320047094145</v>
      </c>
      <c r="E18" s="320">
        <v>2046</v>
      </c>
    </row>
    <row r="19" spans="2:5" x14ac:dyDescent="0.25">
      <c r="B19" s="52" t="s">
        <v>290</v>
      </c>
      <c r="C19" s="272">
        <f>'Ανάλυση ανά δήμο'!D286</f>
        <v>11938931.914856879</v>
      </c>
      <c r="D19" s="319">
        <f>'Ανάλυση ανά δήμο'!D288</f>
        <v>0.22004723616579946</v>
      </c>
      <c r="E19" s="320">
        <v>2046</v>
      </c>
    </row>
    <row r="20" spans="2:5" x14ac:dyDescent="0.25">
      <c r="B20" s="52" t="s">
        <v>291</v>
      </c>
      <c r="C20" s="272">
        <f>'Ανάλυση ανά δήμο'!D322</f>
        <v>264012.43798609887</v>
      </c>
      <c r="D20" s="319">
        <f>'Ανάλυση ανά δήμο'!D324</f>
        <v>0.11324828166506262</v>
      </c>
      <c r="E20" s="320">
        <v>2046</v>
      </c>
    </row>
    <row r="21" spans="2:5" x14ac:dyDescent="0.25">
      <c r="B21" s="52" t="s">
        <v>307</v>
      </c>
      <c r="C21" s="272">
        <f>'Ανάλυση ανά δήμο'!D355</f>
        <v>163622.90338746295</v>
      </c>
      <c r="D21" s="319">
        <f>'Ανάλυση ανά δήμο'!D357</f>
        <v>0.10276442208391678</v>
      </c>
      <c r="E21" s="320">
        <v>2047</v>
      </c>
    </row>
    <row r="22" spans="2:5" x14ac:dyDescent="0.25">
      <c r="B22" s="52" t="s">
        <v>304</v>
      </c>
      <c r="C22" s="272">
        <f>'Ανάλυση ανά δήμο'!D386</f>
        <v>121327.54854508548</v>
      </c>
      <c r="D22" s="319">
        <f>'Ανάλυση ανά δήμο'!D388</f>
        <v>9.0743196407733873E-2</v>
      </c>
      <c r="E22" s="320">
        <v>2047</v>
      </c>
    </row>
    <row r="23" spans="2:5" x14ac:dyDescent="0.25">
      <c r="B23" s="52" t="s">
        <v>305</v>
      </c>
      <c r="C23" s="272">
        <f>'Ανάλυση ανά δήμο'!D417</f>
        <v>156242.81320205558</v>
      </c>
      <c r="D23" s="319">
        <f>'Ανάλυση ανά δήμο'!D419</f>
        <v>9.4370373340091351E-2</v>
      </c>
      <c r="E23" s="320">
        <v>2047</v>
      </c>
    </row>
    <row r="24" spans="2:5" x14ac:dyDescent="0.25">
      <c r="B24" s="52" t="s">
        <v>306</v>
      </c>
      <c r="C24" s="272">
        <f>'Ανάλυση ανά δήμο'!D448</f>
        <v>310361.04679270112</v>
      </c>
      <c r="D24" s="319">
        <f>'Ανάλυση ανά δήμο'!D450</f>
        <v>0.11413380834600551</v>
      </c>
      <c r="E24" s="320">
        <v>2047</v>
      </c>
    </row>
    <row r="25" spans="2:5" x14ac:dyDescent="0.25">
      <c r="B25" s="52" t="s">
        <v>308</v>
      </c>
      <c r="C25" s="272">
        <f>'Ανάλυση ανά δήμο'!D479</f>
        <v>575170.88460005517</v>
      </c>
      <c r="D25" s="319">
        <f>'Ανάλυση ανά δήμο'!D481</f>
        <v>0.13492728700499712</v>
      </c>
      <c r="E25" s="320">
        <v>2047</v>
      </c>
    </row>
    <row r="26" spans="2:5" x14ac:dyDescent="0.25">
      <c r="B26" s="52"/>
      <c r="C26" s="272"/>
      <c r="D26" s="319"/>
      <c r="E26" s="320"/>
    </row>
    <row r="27" spans="2:5" x14ac:dyDescent="0.25">
      <c r="B27" s="445" t="s">
        <v>126</v>
      </c>
      <c r="C27" s="445"/>
      <c r="D27" s="445"/>
      <c r="E27" s="445"/>
    </row>
  </sheetData>
  <mergeCells count="5">
    <mergeCell ref="B9:E9"/>
    <mergeCell ref="B27:E27"/>
    <mergeCell ref="C2:H2"/>
    <mergeCell ref="J2:L2"/>
    <mergeCell ref="B5:I5"/>
  </mergeCells>
  <hyperlinks>
    <hyperlink ref="J2" location="'Αρχική σελίδα'!A1" display="Πίσω στην αρχική σελίδα" xr:uid="{60111898-36B6-4F93-A857-57D482C14DA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sheetPr>
  <dimension ref="B2:AC490"/>
  <sheetViews>
    <sheetView showGridLines="0" topLeftCell="A210" zoomScale="70" zoomScaleNormal="70" workbookViewId="0">
      <selection activeCell="B470" sqref="B470"/>
    </sheetView>
  </sheetViews>
  <sheetFormatPr defaultRowHeight="15" outlineLevelRow="1" x14ac:dyDescent="0.25"/>
  <cols>
    <col min="1" max="1" width="2.85546875" customWidth="1"/>
    <col min="2" max="2" width="48.5703125" customWidth="1"/>
    <col min="3" max="3" width="9.7109375" customWidth="1"/>
    <col min="4" max="4" width="19.42578125" customWidth="1"/>
    <col min="5" max="5" width="13.140625" customWidth="1"/>
    <col min="6" max="26" width="9.7109375" customWidth="1"/>
    <col min="27" max="27" width="13.42578125" customWidth="1"/>
  </cols>
  <sheetData>
    <row r="2" spans="2:27" ht="18.75" x14ac:dyDescent="0.3">
      <c r="B2" s="1" t="s">
        <v>1</v>
      </c>
      <c r="C2" s="353" t="str">
        <f>'Αρχική σελίδα'!C3</f>
        <v>HENGAS</v>
      </c>
      <c r="D2" s="353"/>
      <c r="E2" s="353"/>
      <c r="F2" s="353"/>
      <c r="G2" s="353"/>
      <c r="H2" s="353"/>
      <c r="J2" s="354" t="s">
        <v>213</v>
      </c>
      <c r="K2" s="354"/>
      <c r="L2" s="354"/>
    </row>
    <row r="3" spans="2:27" ht="18.75" x14ac:dyDescent="0.3">
      <c r="B3" s="2" t="s">
        <v>2</v>
      </c>
      <c r="C3" s="111">
        <f>'Αρχική σελίδα'!C4</f>
        <v>2023</v>
      </c>
      <c r="D3" s="48" t="s">
        <v>0</v>
      </c>
      <c r="E3" s="48">
        <f>C3+4</f>
        <v>2027</v>
      </c>
    </row>
    <row r="5" spans="2:27" ht="44.45" customHeight="1" x14ac:dyDescent="0.25">
      <c r="B5" s="355" t="s">
        <v>253</v>
      </c>
      <c r="C5" s="355"/>
      <c r="D5" s="355"/>
      <c r="E5" s="355"/>
      <c r="F5" s="355"/>
      <c r="G5" s="355"/>
      <c r="H5" s="355"/>
      <c r="I5" s="355"/>
    </row>
    <row r="6" spans="2:27" x14ac:dyDescent="0.25">
      <c r="B6" s="271"/>
      <c r="C6" s="271"/>
      <c r="D6" s="271"/>
      <c r="E6" s="271"/>
      <c r="F6" s="271"/>
      <c r="G6" s="271"/>
      <c r="H6" s="271"/>
    </row>
    <row r="7" spans="2:27" ht="18.75" x14ac:dyDescent="0.3">
      <c r="B7" s="112" t="s">
        <v>242</v>
      </c>
      <c r="C7" s="113"/>
      <c r="D7" s="113"/>
      <c r="E7" s="113"/>
      <c r="F7" s="113"/>
      <c r="G7" s="113"/>
      <c r="H7" s="113"/>
      <c r="I7" s="113"/>
    </row>
    <row r="9" spans="2:27" ht="14.45" customHeight="1" x14ac:dyDescent="0.25">
      <c r="B9" s="445" t="s">
        <v>104</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row>
    <row r="11" spans="2:27" x14ac:dyDescent="0.25">
      <c r="B11" s="3" t="s">
        <v>70</v>
      </c>
      <c r="C11" s="3" t="s">
        <v>55</v>
      </c>
      <c r="D11" s="41">
        <v>7.0300000000000001E-2</v>
      </c>
      <c r="E11" s="41">
        <v>7.0300000000000001E-2</v>
      </c>
      <c r="F11" s="41">
        <v>7.0300000000000001E-2</v>
      </c>
      <c r="G11" s="41">
        <v>7.0300000000000001E-2</v>
      </c>
      <c r="H11" s="41">
        <v>7.0300000000000001E-2</v>
      </c>
      <c r="I11" s="17" t="s">
        <v>71</v>
      </c>
    </row>
    <row r="12" spans="2:27" x14ac:dyDescent="0.25">
      <c r="B12" s="3" t="s">
        <v>72</v>
      </c>
      <c r="C12" s="243" t="s">
        <v>60</v>
      </c>
      <c r="D12" s="145">
        <v>7</v>
      </c>
      <c r="E12" s="17"/>
    </row>
    <row r="13" spans="2:27" x14ac:dyDescent="0.25">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2:27" ht="15.75" x14ac:dyDescent="0.25">
      <c r="B14" s="448" t="s">
        <v>292</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row>
    <row r="15" spans="2:27" ht="6" customHeight="1" x14ac:dyDescent="0.25">
      <c r="B15" s="116"/>
      <c r="C15" s="116"/>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row>
    <row r="16" spans="2:27" outlineLevel="1" x14ac:dyDescent="0.25">
      <c r="B16" s="118" t="s">
        <v>105</v>
      </c>
      <c r="C16" s="110"/>
    </row>
    <row r="17" spans="2:29" outlineLevel="1" x14ac:dyDescent="0.25">
      <c r="B17" s="3"/>
      <c r="C17" s="27" t="s">
        <v>20</v>
      </c>
      <c r="D17" s="27">
        <f>$C$3</f>
        <v>2023</v>
      </c>
      <c r="E17" s="27">
        <f>$C$3+1</f>
        <v>2024</v>
      </c>
      <c r="F17" s="27">
        <f>$C$3+2</f>
        <v>2025</v>
      </c>
      <c r="G17" s="27">
        <f>$C$3+3</f>
        <v>2026</v>
      </c>
      <c r="H17" s="27">
        <f>$C$3+4</f>
        <v>2027</v>
      </c>
      <c r="I17" s="27">
        <f>H17+1</f>
        <v>2028</v>
      </c>
      <c r="J17" s="27">
        <f t="shared" ref="J17:AA17" si="0">I17+1</f>
        <v>2029</v>
      </c>
      <c r="K17" s="27">
        <f t="shared" si="0"/>
        <v>2030</v>
      </c>
      <c r="L17" s="27">
        <f t="shared" si="0"/>
        <v>2031</v>
      </c>
      <c r="M17" s="27">
        <f t="shared" si="0"/>
        <v>2032</v>
      </c>
      <c r="N17" s="27">
        <f t="shared" si="0"/>
        <v>2033</v>
      </c>
      <c r="O17" s="27">
        <f t="shared" si="0"/>
        <v>2034</v>
      </c>
      <c r="P17" s="27">
        <f t="shared" si="0"/>
        <v>2035</v>
      </c>
      <c r="Q17" s="27">
        <f t="shared" si="0"/>
        <v>2036</v>
      </c>
      <c r="R17" s="27">
        <f t="shared" si="0"/>
        <v>2037</v>
      </c>
      <c r="S17" s="27">
        <f t="shared" si="0"/>
        <v>2038</v>
      </c>
      <c r="T17" s="27">
        <f t="shared" si="0"/>
        <v>2039</v>
      </c>
      <c r="U17" s="27">
        <f t="shared" si="0"/>
        <v>2040</v>
      </c>
      <c r="V17" s="27">
        <f t="shared" si="0"/>
        <v>2041</v>
      </c>
      <c r="W17" s="27">
        <f t="shared" si="0"/>
        <v>2042</v>
      </c>
      <c r="X17" s="27">
        <f t="shared" si="0"/>
        <v>2043</v>
      </c>
      <c r="Y17" s="27">
        <f t="shared" si="0"/>
        <v>2044</v>
      </c>
      <c r="Z17" s="27">
        <f t="shared" si="0"/>
        <v>2045</v>
      </c>
      <c r="AA17" s="27">
        <f t="shared" si="0"/>
        <v>2046</v>
      </c>
    </row>
    <row r="18" spans="2:29" outlineLevel="1" x14ac:dyDescent="0.25">
      <c r="B18" s="3" t="s">
        <v>68</v>
      </c>
      <c r="C18" s="39"/>
      <c r="D18" s="21">
        <v>1</v>
      </c>
      <c r="E18" s="21">
        <v>2</v>
      </c>
      <c r="F18" s="21">
        <v>3</v>
      </c>
      <c r="G18" s="21">
        <v>4</v>
      </c>
      <c r="H18" s="21">
        <v>5</v>
      </c>
      <c r="I18" s="21">
        <v>6</v>
      </c>
      <c r="J18" s="21">
        <v>7</v>
      </c>
      <c r="K18" s="21">
        <v>8</v>
      </c>
      <c r="L18" s="21">
        <v>9</v>
      </c>
      <c r="M18" s="21">
        <v>10</v>
      </c>
      <c r="N18" s="21">
        <v>11</v>
      </c>
      <c r="O18" s="21">
        <v>12</v>
      </c>
      <c r="P18" s="21">
        <v>13</v>
      </c>
      <c r="Q18" s="21">
        <v>14</v>
      </c>
      <c r="R18" s="21">
        <v>15</v>
      </c>
      <c r="S18" s="21">
        <v>16</v>
      </c>
      <c r="T18" s="21">
        <v>17</v>
      </c>
      <c r="U18" s="21">
        <v>18</v>
      </c>
      <c r="V18" s="21">
        <v>19</v>
      </c>
      <c r="W18" s="21">
        <v>20</v>
      </c>
      <c r="X18" s="21">
        <v>21</v>
      </c>
      <c r="Y18" s="21">
        <v>22</v>
      </c>
      <c r="Z18" s="21">
        <v>23</v>
      </c>
      <c r="AA18" s="21">
        <v>24</v>
      </c>
    </row>
    <row r="19" spans="2:29" outlineLevel="1" x14ac:dyDescent="0.25">
      <c r="B19" s="446" t="s">
        <v>106</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row>
    <row r="20" spans="2:29" outlineLevel="1" x14ac:dyDescent="0.25">
      <c r="B20" s="3" t="s">
        <v>167</v>
      </c>
      <c r="C20" s="119" t="s">
        <v>47</v>
      </c>
      <c r="D20" s="36">
        <f>Επενδύσεις!D12</f>
        <v>179350</v>
      </c>
      <c r="E20" s="36">
        <f>Επενδύσεις!E12</f>
        <v>232550</v>
      </c>
      <c r="F20" s="36">
        <f>Επενδύσεις!F12</f>
        <v>98000</v>
      </c>
      <c r="G20" s="36">
        <f>Επενδύσεις!G12</f>
        <v>28000</v>
      </c>
      <c r="H20" s="36">
        <f>Επενδύσεις!H12</f>
        <v>14933.333333333332</v>
      </c>
      <c r="I20" s="120"/>
      <c r="J20" s="120"/>
      <c r="K20" s="120"/>
      <c r="L20" s="120"/>
      <c r="M20" s="120"/>
      <c r="N20" s="120"/>
      <c r="O20" s="120"/>
      <c r="P20" s="120"/>
      <c r="Q20" s="120"/>
      <c r="R20" s="120"/>
      <c r="S20" s="120"/>
      <c r="T20" s="120"/>
      <c r="U20" s="120"/>
      <c r="V20" s="120"/>
      <c r="W20" s="120"/>
      <c r="X20" s="120"/>
      <c r="Y20" s="120"/>
      <c r="Z20" s="120"/>
      <c r="AA20" s="120"/>
    </row>
    <row r="21" spans="2:29" outlineLevel="1" x14ac:dyDescent="0.25">
      <c r="B21" s="3" t="s">
        <v>107</v>
      </c>
      <c r="C21" s="119" t="s">
        <v>47</v>
      </c>
      <c r="D21" s="120"/>
      <c r="E21" s="120"/>
      <c r="F21" s="120"/>
      <c r="G21" s="120"/>
      <c r="H21" s="120"/>
      <c r="I21" s="36"/>
      <c r="J21" s="36"/>
      <c r="K21" s="36"/>
      <c r="L21" s="36"/>
      <c r="M21" s="36"/>
      <c r="N21" s="36"/>
      <c r="O21" s="36"/>
      <c r="P21" s="36"/>
      <c r="Q21" s="36"/>
      <c r="R21" s="36"/>
      <c r="S21" s="36"/>
      <c r="T21" s="36"/>
      <c r="U21" s="36"/>
      <c r="V21" s="36"/>
      <c r="W21" s="36"/>
      <c r="X21" s="36"/>
      <c r="Y21" s="36"/>
      <c r="Z21" s="36"/>
      <c r="AA21" s="36"/>
    </row>
    <row r="22" spans="2:29" outlineLevel="1" x14ac:dyDescent="0.25">
      <c r="B22" s="3" t="s">
        <v>108</v>
      </c>
      <c r="C22" s="121" t="s">
        <v>47</v>
      </c>
      <c r="D22" s="36">
        <v>134164.89066666664</v>
      </c>
      <c r="E22" s="36">
        <v>150000</v>
      </c>
      <c r="F22" s="36">
        <v>150000</v>
      </c>
      <c r="G22" s="36">
        <v>150000</v>
      </c>
      <c r="H22" s="36">
        <v>150000</v>
      </c>
      <c r="I22" s="36">
        <v>70000</v>
      </c>
      <c r="J22" s="36">
        <f t="shared" ref="J22:AA22" si="1">I22</f>
        <v>70000</v>
      </c>
      <c r="K22" s="36">
        <f t="shared" si="1"/>
        <v>70000</v>
      </c>
      <c r="L22" s="36">
        <f t="shared" si="1"/>
        <v>70000</v>
      </c>
      <c r="M22" s="36">
        <f t="shared" si="1"/>
        <v>70000</v>
      </c>
      <c r="N22" s="36">
        <f t="shared" si="1"/>
        <v>70000</v>
      </c>
      <c r="O22" s="36">
        <f t="shared" si="1"/>
        <v>70000</v>
      </c>
      <c r="P22" s="36">
        <f t="shared" si="1"/>
        <v>70000</v>
      </c>
      <c r="Q22" s="36">
        <f t="shared" si="1"/>
        <v>70000</v>
      </c>
      <c r="R22" s="36">
        <f t="shared" si="1"/>
        <v>70000</v>
      </c>
      <c r="S22" s="36">
        <f t="shared" si="1"/>
        <v>70000</v>
      </c>
      <c r="T22" s="36">
        <f t="shared" si="1"/>
        <v>70000</v>
      </c>
      <c r="U22" s="36">
        <f t="shared" si="1"/>
        <v>70000</v>
      </c>
      <c r="V22" s="36">
        <f t="shared" si="1"/>
        <v>70000</v>
      </c>
      <c r="W22" s="36">
        <f t="shared" si="1"/>
        <v>70000</v>
      </c>
      <c r="X22" s="36">
        <f t="shared" si="1"/>
        <v>70000</v>
      </c>
      <c r="Y22" s="36">
        <f t="shared" si="1"/>
        <v>70000</v>
      </c>
      <c r="Z22" s="36">
        <f t="shared" si="1"/>
        <v>70000</v>
      </c>
      <c r="AA22" s="36">
        <f t="shared" si="1"/>
        <v>70000</v>
      </c>
    </row>
    <row r="23" spans="2:29" outlineLevel="1" x14ac:dyDescent="0.25">
      <c r="B23" s="122" t="s">
        <v>109</v>
      </c>
      <c r="C23" s="121" t="s">
        <v>47</v>
      </c>
      <c r="D23" s="240">
        <f>D20+D22</f>
        <v>313514.89066666667</v>
      </c>
      <c r="E23" s="240">
        <f>E20+E22</f>
        <v>382550</v>
      </c>
      <c r="F23" s="240">
        <f>F20+F22</f>
        <v>248000</v>
      </c>
      <c r="G23" s="240">
        <f>G20+G22</f>
        <v>178000</v>
      </c>
      <c r="H23" s="240">
        <f>H20+H22</f>
        <v>164933.33333333334</v>
      </c>
      <c r="I23" s="240">
        <f>I21+I22</f>
        <v>70000</v>
      </c>
      <c r="J23" s="240">
        <f t="shared" ref="J23:AA23" si="2">J21+J22</f>
        <v>70000</v>
      </c>
      <c r="K23" s="240">
        <f t="shared" si="2"/>
        <v>70000</v>
      </c>
      <c r="L23" s="240">
        <f t="shared" si="2"/>
        <v>70000</v>
      </c>
      <c r="M23" s="240">
        <f t="shared" si="2"/>
        <v>70000</v>
      </c>
      <c r="N23" s="240">
        <f t="shared" si="2"/>
        <v>70000</v>
      </c>
      <c r="O23" s="240">
        <f t="shared" si="2"/>
        <v>70000</v>
      </c>
      <c r="P23" s="240">
        <f t="shared" si="2"/>
        <v>70000</v>
      </c>
      <c r="Q23" s="240">
        <f t="shared" si="2"/>
        <v>70000</v>
      </c>
      <c r="R23" s="240">
        <f t="shared" si="2"/>
        <v>70000</v>
      </c>
      <c r="S23" s="240">
        <f t="shared" si="2"/>
        <v>70000</v>
      </c>
      <c r="T23" s="240">
        <f t="shared" si="2"/>
        <v>70000</v>
      </c>
      <c r="U23" s="240">
        <f t="shared" si="2"/>
        <v>70000</v>
      </c>
      <c r="V23" s="240">
        <f t="shared" si="2"/>
        <v>70000</v>
      </c>
      <c r="W23" s="240">
        <f t="shared" si="2"/>
        <v>70000</v>
      </c>
      <c r="X23" s="240">
        <f t="shared" si="2"/>
        <v>70000</v>
      </c>
      <c r="Y23" s="240">
        <f t="shared" si="2"/>
        <v>70000</v>
      </c>
      <c r="Z23" s="240">
        <f t="shared" si="2"/>
        <v>70000</v>
      </c>
      <c r="AA23" s="240">
        <f t="shared" si="2"/>
        <v>70000</v>
      </c>
    </row>
    <row r="24" spans="2:29" outlineLevel="1" x14ac:dyDescent="0.25">
      <c r="B24" s="17" t="s">
        <v>110</v>
      </c>
    </row>
    <row r="25" spans="2:29" outlineLevel="1" x14ac:dyDescent="0.25">
      <c r="B25" s="17" t="s">
        <v>111</v>
      </c>
    </row>
    <row r="26" spans="2:29" outlineLevel="1" x14ac:dyDescent="0.25">
      <c r="B26" s="446" t="s">
        <v>112</v>
      </c>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row>
    <row r="27" spans="2:29" outlineLevel="1" x14ac:dyDescent="0.25">
      <c r="B27" s="123" t="s">
        <v>113</v>
      </c>
      <c r="C27" s="119" t="s">
        <v>26</v>
      </c>
      <c r="D27" s="36">
        <f>'Διανεμόμενες ποσότητες αερίου'!R15</f>
        <v>5935</v>
      </c>
      <c r="E27" s="36">
        <f>'Διανεμόμενες ποσότητες αερίου'!X15</f>
        <v>14046</v>
      </c>
      <c r="F27" s="36">
        <f>'Διανεμόμενες ποσότητες αερίου'!AF15</f>
        <v>17721</v>
      </c>
      <c r="G27" s="36">
        <f>'Διανεμόμενες ποσότητες αερίου'!AL15</f>
        <v>18771</v>
      </c>
      <c r="H27" s="36">
        <f>'Διανεμόμενες ποσότητες αερίου'!AR15</f>
        <v>19331</v>
      </c>
      <c r="I27" s="36">
        <f>H27*1.2</f>
        <v>23197.200000000001</v>
      </c>
      <c r="J27" s="36">
        <f>I27*1.1</f>
        <v>25516.920000000002</v>
      </c>
      <c r="K27" s="36">
        <f t="shared" ref="K27:AA27" si="3">J27*1.01</f>
        <v>25772.089200000002</v>
      </c>
      <c r="L27" s="36">
        <f t="shared" si="3"/>
        <v>26029.810092000003</v>
      </c>
      <c r="M27" s="36">
        <f t="shared" si="3"/>
        <v>26290.108192920005</v>
      </c>
      <c r="N27" s="36">
        <f t="shared" si="3"/>
        <v>26553.009274849206</v>
      </c>
      <c r="O27" s="36">
        <f t="shared" si="3"/>
        <v>26818.539367597699</v>
      </c>
      <c r="P27" s="36">
        <f t="shared" si="3"/>
        <v>27086.724761273676</v>
      </c>
      <c r="Q27" s="36">
        <f t="shared" si="3"/>
        <v>27357.592008886411</v>
      </c>
      <c r="R27" s="36">
        <f t="shared" si="3"/>
        <v>27631.167928975276</v>
      </c>
      <c r="S27" s="36">
        <f t="shared" si="3"/>
        <v>27907.479608265028</v>
      </c>
      <c r="T27" s="36">
        <f t="shared" si="3"/>
        <v>28186.55440434768</v>
      </c>
      <c r="U27" s="36">
        <f t="shared" si="3"/>
        <v>28468.419948391158</v>
      </c>
      <c r="V27" s="36">
        <f t="shared" si="3"/>
        <v>28753.10414787507</v>
      </c>
      <c r="W27" s="36">
        <f t="shared" si="3"/>
        <v>29040.635189353823</v>
      </c>
      <c r="X27" s="36">
        <f t="shared" si="3"/>
        <v>29331.041541247363</v>
      </c>
      <c r="Y27" s="36">
        <f t="shared" si="3"/>
        <v>29624.351956659837</v>
      </c>
      <c r="Z27" s="36">
        <f t="shared" si="3"/>
        <v>29920.595476226437</v>
      </c>
      <c r="AA27" s="36">
        <f t="shared" si="3"/>
        <v>30219.8014309887</v>
      </c>
      <c r="AC27" s="40"/>
    </row>
    <row r="28" spans="2:29" outlineLevel="1" x14ac:dyDescent="0.25">
      <c r="B28" s="123" t="s">
        <v>114</v>
      </c>
      <c r="C28" s="121" t="s">
        <v>47</v>
      </c>
      <c r="D28" s="180">
        <f t="shared" ref="D28:AA28" si="4">D27*$D$12</f>
        <v>41545</v>
      </c>
      <c r="E28" s="180">
        <f t="shared" si="4"/>
        <v>98322</v>
      </c>
      <c r="F28" s="180">
        <f t="shared" si="4"/>
        <v>124047</v>
      </c>
      <c r="G28" s="180">
        <f t="shared" si="4"/>
        <v>131397</v>
      </c>
      <c r="H28" s="180">
        <f t="shared" si="4"/>
        <v>135317</v>
      </c>
      <c r="I28" s="180">
        <f t="shared" si="4"/>
        <v>162380.4</v>
      </c>
      <c r="J28" s="180">
        <f t="shared" si="4"/>
        <v>178618.44</v>
      </c>
      <c r="K28" s="180">
        <f t="shared" si="4"/>
        <v>180404.62440000003</v>
      </c>
      <c r="L28" s="180">
        <f t="shared" si="4"/>
        <v>182208.67064400003</v>
      </c>
      <c r="M28" s="180">
        <f t="shared" si="4"/>
        <v>184030.75735044002</v>
      </c>
      <c r="N28" s="180">
        <f t="shared" si="4"/>
        <v>185871.06492394445</v>
      </c>
      <c r="O28" s="180">
        <f t="shared" si="4"/>
        <v>187729.7755731839</v>
      </c>
      <c r="P28" s="180">
        <f t="shared" si="4"/>
        <v>189607.07332891572</v>
      </c>
      <c r="Q28" s="180">
        <f t="shared" si="4"/>
        <v>191503.14406220487</v>
      </c>
      <c r="R28" s="180">
        <f t="shared" si="4"/>
        <v>193418.17550282693</v>
      </c>
      <c r="S28" s="180">
        <f t="shared" si="4"/>
        <v>195352.35725785518</v>
      </c>
      <c r="T28" s="180">
        <f t="shared" si="4"/>
        <v>197305.88083043377</v>
      </c>
      <c r="U28" s="180">
        <f t="shared" si="4"/>
        <v>199278.93963873811</v>
      </c>
      <c r="V28" s="180">
        <f t="shared" si="4"/>
        <v>201271.72903512549</v>
      </c>
      <c r="W28" s="180">
        <f t="shared" si="4"/>
        <v>203284.44632547675</v>
      </c>
      <c r="X28" s="180">
        <f t="shared" si="4"/>
        <v>205317.29078873154</v>
      </c>
      <c r="Y28" s="180">
        <f t="shared" si="4"/>
        <v>207370.46369661886</v>
      </c>
      <c r="Z28" s="180">
        <f t="shared" si="4"/>
        <v>209444.16833358505</v>
      </c>
      <c r="AA28" s="180">
        <f t="shared" si="4"/>
        <v>211538.61001692089</v>
      </c>
    </row>
    <row r="29" spans="2:29" outlineLevel="1" x14ac:dyDescent="0.25">
      <c r="B29" s="122" t="s">
        <v>115</v>
      </c>
      <c r="C29" s="121" t="s">
        <v>47</v>
      </c>
      <c r="D29" s="240">
        <f>D28</f>
        <v>41545</v>
      </c>
      <c r="E29" s="240">
        <f t="shared" ref="E29:AA29" si="5">E28</f>
        <v>98322</v>
      </c>
      <c r="F29" s="240">
        <f t="shared" si="5"/>
        <v>124047</v>
      </c>
      <c r="G29" s="240">
        <f t="shared" si="5"/>
        <v>131397</v>
      </c>
      <c r="H29" s="240">
        <f>H28</f>
        <v>135317</v>
      </c>
      <c r="I29" s="240">
        <f t="shared" si="5"/>
        <v>162380.4</v>
      </c>
      <c r="J29" s="240">
        <f t="shared" si="5"/>
        <v>178618.44</v>
      </c>
      <c r="K29" s="240">
        <f t="shared" si="5"/>
        <v>180404.62440000003</v>
      </c>
      <c r="L29" s="240">
        <f t="shared" si="5"/>
        <v>182208.67064400003</v>
      </c>
      <c r="M29" s="240">
        <f t="shared" si="5"/>
        <v>184030.75735044002</v>
      </c>
      <c r="N29" s="240">
        <f t="shared" si="5"/>
        <v>185871.06492394445</v>
      </c>
      <c r="O29" s="240">
        <f t="shared" si="5"/>
        <v>187729.7755731839</v>
      </c>
      <c r="P29" s="240">
        <f t="shared" si="5"/>
        <v>189607.07332891572</v>
      </c>
      <c r="Q29" s="240">
        <f t="shared" si="5"/>
        <v>191503.14406220487</v>
      </c>
      <c r="R29" s="240">
        <f t="shared" si="5"/>
        <v>193418.17550282693</v>
      </c>
      <c r="S29" s="240">
        <f t="shared" si="5"/>
        <v>195352.35725785518</v>
      </c>
      <c r="T29" s="240">
        <f t="shared" si="5"/>
        <v>197305.88083043377</v>
      </c>
      <c r="U29" s="240">
        <f t="shared" si="5"/>
        <v>199278.93963873811</v>
      </c>
      <c r="V29" s="240">
        <f t="shared" si="5"/>
        <v>201271.72903512549</v>
      </c>
      <c r="W29" s="240">
        <f t="shared" si="5"/>
        <v>203284.44632547675</v>
      </c>
      <c r="X29" s="240">
        <f t="shared" si="5"/>
        <v>205317.29078873154</v>
      </c>
      <c r="Y29" s="240">
        <f t="shared" si="5"/>
        <v>207370.46369661886</v>
      </c>
      <c r="Z29" s="240">
        <f t="shared" si="5"/>
        <v>209444.16833358505</v>
      </c>
      <c r="AA29" s="240">
        <f t="shared" si="5"/>
        <v>211538.61001692089</v>
      </c>
    </row>
    <row r="30" spans="2:29" outlineLevel="1" x14ac:dyDescent="0.25">
      <c r="B30" s="124" t="s">
        <v>116</v>
      </c>
    </row>
    <row r="31" spans="2:29" outlineLevel="1" x14ac:dyDescent="0.25">
      <c r="B31" s="3" t="s">
        <v>117</v>
      </c>
      <c r="C31" s="125" t="s">
        <v>47</v>
      </c>
      <c r="D31" s="181">
        <f>D29-D23</f>
        <v>-271969.89066666667</v>
      </c>
      <c r="E31" s="181">
        <f t="shared" ref="E31:AA31" si="6">E29-E23</f>
        <v>-284228</v>
      </c>
      <c r="F31" s="181">
        <f t="shared" si="6"/>
        <v>-123953</v>
      </c>
      <c r="G31" s="181">
        <f t="shared" si="6"/>
        <v>-46603</v>
      </c>
      <c r="H31" s="181">
        <f t="shared" si="6"/>
        <v>-29616.333333333343</v>
      </c>
      <c r="I31" s="181">
        <f t="shared" si="6"/>
        <v>92380.4</v>
      </c>
      <c r="J31" s="181">
        <f t="shared" si="6"/>
        <v>108618.44</v>
      </c>
      <c r="K31" s="181">
        <f t="shared" si="6"/>
        <v>110404.62440000003</v>
      </c>
      <c r="L31" s="181">
        <f t="shared" si="6"/>
        <v>112208.67064400003</v>
      </c>
      <c r="M31" s="181">
        <f t="shared" si="6"/>
        <v>114030.75735044002</v>
      </c>
      <c r="N31" s="181">
        <f t="shared" si="6"/>
        <v>115871.06492394445</v>
      </c>
      <c r="O31" s="181">
        <f t="shared" si="6"/>
        <v>117729.7755731839</v>
      </c>
      <c r="P31" s="181">
        <f t="shared" si="6"/>
        <v>119607.07332891572</v>
      </c>
      <c r="Q31" s="181">
        <f t="shared" si="6"/>
        <v>121503.14406220487</v>
      </c>
      <c r="R31" s="181">
        <f t="shared" si="6"/>
        <v>123418.17550282693</v>
      </c>
      <c r="S31" s="181">
        <f t="shared" si="6"/>
        <v>125352.35725785518</v>
      </c>
      <c r="T31" s="181">
        <f t="shared" si="6"/>
        <v>127305.88083043377</v>
      </c>
      <c r="U31" s="181">
        <f t="shared" si="6"/>
        <v>129278.93963873811</v>
      </c>
      <c r="V31" s="181">
        <f t="shared" si="6"/>
        <v>131271.72903512549</v>
      </c>
      <c r="W31" s="181">
        <f t="shared" si="6"/>
        <v>133284.44632547675</v>
      </c>
      <c r="X31" s="181">
        <f t="shared" si="6"/>
        <v>135317.29078873154</v>
      </c>
      <c r="Y31" s="181">
        <f t="shared" si="6"/>
        <v>137370.46369661886</v>
      </c>
      <c r="Z31" s="181">
        <f t="shared" si="6"/>
        <v>139444.16833358505</v>
      </c>
      <c r="AA31" s="181">
        <f t="shared" si="6"/>
        <v>141538.61001692089</v>
      </c>
    </row>
    <row r="32" spans="2:29" outlineLevel="1" x14ac:dyDescent="0.25">
      <c r="B32" s="3" t="s">
        <v>69</v>
      </c>
      <c r="C32" s="125" t="s">
        <v>47</v>
      </c>
      <c r="D32" s="181">
        <f>D31*1/(1+D11)</f>
        <v>-254106.22317730231</v>
      </c>
      <c r="E32" s="181">
        <f>E31*1/(1+E11)*(1/(1+D11))</f>
        <v>-248116.59255575671</v>
      </c>
      <c r="F32" s="181">
        <f>F31*1/(1+F11)*(1/(1+E11))*(1/(1+D11))</f>
        <v>-101097.51160022242</v>
      </c>
      <c r="G32" s="181">
        <f>G31*1/(1+G11)*(1/(1+F11)*(1/(1+E11))*(1/(1+D11)))</f>
        <v>-35513.360745671635</v>
      </c>
      <c r="H32" s="181">
        <f>H31*1/(1+$H$11)*(1/(1+$G$11)*(1/(1+$F$11)*(1/(1+$E$11))*(1/(1+$D$11))))</f>
        <v>-21086.459316057721</v>
      </c>
      <c r="I32" s="181">
        <f t="shared" ref="I32:AA32" si="7">I31*(1/((1+$H$11)^(I18-$G$18))*(1/(1+$G$11)*(1/(1+$F$11)*(1/(1+$E$11))*((1/(1+$D$11))))))</f>
        <v>61453.508948853312</v>
      </c>
      <c r="J32" s="181">
        <f t="shared" si="7"/>
        <v>67509.498699368021</v>
      </c>
      <c r="K32" s="181">
        <f t="shared" si="7"/>
        <v>64112.551537877094</v>
      </c>
      <c r="L32" s="181">
        <f t="shared" si="7"/>
        <v>60880.286620221763</v>
      </c>
      <c r="M32" s="181">
        <f t="shared" si="7"/>
        <v>57805.179549262211</v>
      </c>
      <c r="N32" s="181">
        <f t="shared" si="7"/>
        <v>54880.014660519773</v>
      </c>
      <c r="O32" s="181">
        <f t="shared" si="7"/>
        <v>52097.875194149652</v>
      </c>
      <c r="P32" s="181">
        <f t="shared" si="7"/>
        <v>49452.133523679375</v>
      </c>
      <c r="Q32" s="181">
        <f t="shared" si="7"/>
        <v>46936.441470955346</v>
      </c>
      <c r="R32" s="181">
        <f t="shared" si="7"/>
        <v>44544.72073293657</v>
      </c>
      <c r="S32" s="181">
        <f t="shared" si="7"/>
        <v>42271.153442527582</v>
      </c>
      <c r="T32" s="181">
        <f t="shared" si="7"/>
        <v>40110.172882520608</v>
      </c>
      <c r="U32" s="181">
        <f t="shared" si="7"/>
        <v>38056.454368893916</v>
      </c>
      <c r="V32" s="181">
        <f t="shared" si="7"/>
        <v>36104.906317164459</v>
      </c>
      <c r="W32" s="181">
        <f t="shared" si="7"/>
        <v>34250.661503194526</v>
      </c>
      <c r="X32" s="181">
        <f t="shared" si="7"/>
        <v>32489.0685277839</v>
      </c>
      <c r="Y32" s="181">
        <f t="shared" si="7"/>
        <v>30815.683492520668</v>
      </c>
      <c r="Z32" s="181">
        <f t="shared" si="7"/>
        <v>29226.261892697836</v>
      </c>
      <c r="AA32" s="181">
        <f t="shared" si="7"/>
        <v>27716.750731612716</v>
      </c>
    </row>
    <row r="33" spans="2:27" outlineLevel="1" x14ac:dyDescent="0.25">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row r="34" spans="2:27" outlineLevel="1" x14ac:dyDescent="0.25">
      <c r="B34" s="42" t="s">
        <v>168</v>
      </c>
      <c r="C34" s="126" t="s">
        <v>47</v>
      </c>
      <c r="D34" s="127">
        <f>SUM(D32:AA32)</f>
        <v>210793.17670172849</v>
      </c>
      <c r="E34" s="40"/>
      <c r="F34" s="40"/>
      <c r="G34" s="40"/>
      <c r="H34" s="40"/>
    </row>
    <row r="35" spans="2:27" ht="4.9000000000000004" customHeight="1" outlineLevel="1" x14ac:dyDescent="0.25"/>
    <row r="36" spans="2:27" outlineLevel="1" x14ac:dyDescent="0.25">
      <c r="B36" s="42" t="s">
        <v>118</v>
      </c>
      <c r="C36" s="42"/>
      <c r="D36" s="241">
        <f>IFERROR(IRR(D31:AA31),0)</f>
        <v>9.7028076291091558E-2</v>
      </c>
    </row>
    <row r="37" spans="2:27" ht="4.9000000000000004" customHeight="1" outlineLevel="1" x14ac:dyDescent="0.25"/>
    <row r="38" spans="2:27" outlineLevel="1" x14ac:dyDescent="0.25">
      <c r="B38" s="42" t="s">
        <v>119</v>
      </c>
    </row>
    <row r="39" spans="2:27" outlineLevel="1" x14ac:dyDescent="0.25">
      <c r="B39" s="3" t="s">
        <v>68</v>
      </c>
      <c r="C39" s="39"/>
      <c r="D39" s="21">
        <v>1</v>
      </c>
      <c r="E39" s="21">
        <v>2</v>
      </c>
      <c r="F39" s="21">
        <v>3</v>
      </c>
      <c r="G39" s="21">
        <v>4</v>
      </c>
      <c r="H39" s="21">
        <v>5</v>
      </c>
      <c r="I39" s="21">
        <v>6</v>
      </c>
      <c r="J39" s="21">
        <v>7</v>
      </c>
      <c r="K39" s="21">
        <v>8</v>
      </c>
      <c r="L39" s="21">
        <v>9</v>
      </c>
      <c r="M39" s="21">
        <v>10</v>
      </c>
      <c r="N39" s="21">
        <v>11</v>
      </c>
      <c r="O39" s="21">
        <v>12</v>
      </c>
      <c r="P39" s="21">
        <v>13</v>
      </c>
      <c r="Q39" s="21">
        <v>14</v>
      </c>
      <c r="R39" s="21">
        <v>15</v>
      </c>
      <c r="S39" s="21">
        <v>16</v>
      </c>
      <c r="T39" s="21">
        <v>17</v>
      </c>
      <c r="U39" s="21">
        <v>18</v>
      </c>
      <c r="V39" s="21">
        <v>19</v>
      </c>
      <c r="W39" s="21">
        <v>20</v>
      </c>
      <c r="X39" s="21">
        <v>21</v>
      </c>
      <c r="Y39" s="21">
        <v>22</v>
      </c>
      <c r="Z39" s="21">
        <v>23</v>
      </c>
      <c r="AA39" s="21">
        <v>24</v>
      </c>
    </row>
    <row r="40" spans="2:27" outlineLevel="1" x14ac:dyDescent="0.25">
      <c r="B40" s="3" t="s">
        <v>117</v>
      </c>
      <c r="C40" s="125" t="s">
        <v>47</v>
      </c>
      <c r="D40" s="180">
        <f>D31</f>
        <v>-271969.89066666667</v>
      </c>
      <c r="E40" s="180">
        <f>E31</f>
        <v>-284228</v>
      </c>
      <c r="F40" s="180">
        <f t="shared" ref="F40:AA40" si="8">F31</f>
        <v>-123953</v>
      </c>
      <c r="G40" s="180">
        <f t="shared" si="8"/>
        <v>-46603</v>
      </c>
      <c r="H40" s="180">
        <f t="shared" si="8"/>
        <v>-29616.333333333343</v>
      </c>
      <c r="I40" s="180">
        <f t="shared" si="8"/>
        <v>92380.4</v>
      </c>
      <c r="J40" s="180">
        <f t="shared" si="8"/>
        <v>108618.44</v>
      </c>
      <c r="K40" s="180">
        <f t="shared" si="8"/>
        <v>110404.62440000003</v>
      </c>
      <c r="L40" s="180">
        <f t="shared" si="8"/>
        <v>112208.67064400003</v>
      </c>
      <c r="M40" s="180">
        <f t="shared" si="8"/>
        <v>114030.75735044002</v>
      </c>
      <c r="N40" s="180">
        <f t="shared" si="8"/>
        <v>115871.06492394445</v>
      </c>
      <c r="O40" s="180">
        <f t="shared" si="8"/>
        <v>117729.7755731839</v>
      </c>
      <c r="P40" s="180">
        <f t="shared" si="8"/>
        <v>119607.07332891572</v>
      </c>
      <c r="Q40" s="180">
        <f t="shared" si="8"/>
        <v>121503.14406220487</v>
      </c>
      <c r="R40" s="180">
        <f t="shared" si="8"/>
        <v>123418.17550282693</v>
      </c>
      <c r="S40" s="180">
        <f t="shared" si="8"/>
        <v>125352.35725785518</v>
      </c>
      <c r="T40" s="180">
        <f t="shared" si="8"/>
        <v>127305.88083043377</v>
      </c>
      <c r="U40" s="180">
        <f t="shared" si="8"/>
        <v>129278.93963873811</v>
      </c>
      <c r="V40" s="180">
        <f t="shared" si="8"/>
        <v>131271.72903512549</v>
      </c>
      <c r="W40" s="180">
        <f t="shared" si="8"/>
        <v>133284.44632547675</v>
      </c>
      <c r="X40" s="180">
        <f t="shared" si="8"/>
        <v>135317.29078873154</v>
      </c>
      <c r="Y40" s="180">
        <f t="shared" si="8"/>
        <v>137370.46369661886</v>
      </c>
      <c r="Z40" s="180">
        <f t="shared" si="8"/>
        <v>139444.16833358505</v>
      </c>
      <c r="AA40" s="180">
        <f t="shared" si="8"/>
        <v>141538.61001692089</v>
      </c>
    </row>
    <row r="41" spans="2:27" outlineLevel="1" x14ac:dyDescent="0.25">
      <c r="B41" s="128" t="s">
        <v>120</v>
      </c>
      <c r="C41" s="129" t="s">
        <v>47</v>
      </c>
      <c r="D41" s="242">
        <f>D20*1/(1+D11)</f>
        <v>167569.84023171072</v>
      </c>
      <c r="E41" s="242">
        <f>E20*1/(1+E11)*(1/(1+D11))</f>
        <v>203004.32610031814</v>
      </c>
      <c r="F41" s="242">
        <f>F20*1/(1+F11)*(1/(1+E11))*(1/(1+D11))</f>
        <v>79929.942291205516</v>
      </c>
      <c r="G41" s="242">
        <f>G20*1/(1+G11)*(1/(1+F11)*(1/(1+E11))*(1/(1+D11)))</f>
        <v>21337.126384112733</v>
      </c>
      <c r="H41" s="242">
        <f>H20*1/(1+$H$11)*(1/(1+$G$11)*(1/(1+$F$11)*(1/(1+$E$11))*(1/(1+$D$11))))</f>
        <v>10632.346760902043</v>
      </c>
    </row>
    <row r="42" spans="2:27" outlineLevel="1" x14ac:dyDescent="0.25">
      <c r="B42" s="3" t="s">
        <v>121</v>
      </c>
      <c r="C42" s="125" t="s">
        <v>47</v>
      </c>
      <c r="D42" s="181">
        <f>D40-D41</f>
        <v>-439539.73089837737</v>
      </c>
      <c r="E42" s="181">
        <f>D42+E40-E41</f>
        <v>-926772.05699869548</v>
      </c>
      <c r="F42" s="181">
        <f>E42+F40-F41</f>
        <v>-1130654.999289901</v>
      </c>
      <c r="G42" s="181">
        <f>F42+G40-G41</f>
        <v>-1198595.1256740137</v>
      </c>
      <c r="H42" s="181">
        <f>G42+H40-H41</f>
        <v>-1238843.8057682491</v>
      </c>
      <c r="I42" s="181">
        <f t="shared" ref="I42:AA42" si="9">H42+I40</f>
        <v>-1146463.4057682492</v>
      </c>
      <c r="J42" s="181">
        <f t="shared" si="9"/>
        <v>-1037844.9657682492</v>
      </c>
      <c r="K42" s="181">
        <f t="shared" si="9"/>
        <v>-927440.34136824915</v>
      </c>
      <c r="L42" s="181">
        <f t="shared" si="9"/>
        <v>-815231.6707242491</v>
      </c>
      <c r="M42" s="181">
        <f t="shared" si="9"/>
        <v>-701200.91337380907</v>
      </c>
      <c r="N42" s="181">
        <f t="shared" si="9"/>
        <v>-585329.84844986466</v>
      </c>
      <c r="O42" s="181">
        <f t="shared" si="9"/>
        <v>-467600.07287668076</v>
      </c>
      <c r="P42" s="181">
        <f t="shared" si="9"/>
        <v>-347992.99954776501</v>
      </c>
      <c r="Q42" s="181">
        <f t="shared" si="9"/>
        <v>-226489.85548556014</v>
      </c>
      <c r="R42" s="181">
        <f t="shared" si="9"/>
        <v>-103071.67998273321</v>
      </c>
      <c r="S42" s="181">
        <f t="shared" si="9"/>
        <v>22280.677275121969</v>
      </c>
      <c r="T42" s="181">
        <f t="shared" si="9"/>
        <v>149586.55810555574</v>
      </c>
      <c r="U42" s="181">
        <f t="shared" si="9"/>
        <v>278865.49774429388</v>
      </c>
      <c r="V42" s="181">
        <f t="shared" si="9"/>
        <v>410137.22677941935</v>
      </c>
      <c r="W42" s="181">
        <f t="shared" si="9"/>
        <v>543421.67310489609</v>
      </c>
      <c r="X42" s="181">
        <f t="shared" si="9"/>
        <v>678738.96389362763</v>
      </c>
      <c r="Y42" s="181">
        <f t="shared" si="9"/>
        <v>816109.42759024655</v>
      </c>
      <c r="Z42" s="181">
        <f t="shared" si="9"/>
        <v>955553.59592383157</v>
      </c>
      <c r="AA42" s="181">
        <f t="shared" si="9"/>
        <v>1097092.2059407525</v>
      </c>
    </row>
    <row r="43" spans="2:27" outlineLevel="1" x14ac:dyDescent="0.25">
      <c r="B43" s="130" t="s">
        <v>122</v>
      </c>
    </row>
    <row r="45" spans="2:27" ht="14.45" customHeight="1" x14ac:dyDescent="0.25">
      <c r="B45" s="445" t="s">
        <v>104</v>
      </c>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row>
    <row r="47" spans="2:27" x14ac:dyDescent="0.25">
      <c r="B47" s="3" t="s">
        <v>70</v>
      </c>
      <c r="C47" s="3" t="s">
        <v>55</v>
      </c>
      <c r="D47" s="41">
        <v>7.0300000000000001E-2</v>
      </c>
      <c r="E47" s="41">
        <v>7.0300000000000001E-2</v>
      </c>
      <c r="F47" s="41">
        <v>7.0300000000000001E-2</v>
      </c>
      <c r="G47" s="41">
        <v>7.0300000000000001E-2</v>
      </c>
      <c r="H47" s="41">
        <v>7.0300000000000001E-2</v>
      </c>
      <c r="I47" s="17" t="s">
        <v>71</v>
      </c>
    </row>
    <row r="48" spans="2:27" x14ac:dyDescent="0.25">
      <c r="B48" s="3" t="s">
        <v>72</v>
      </c>
      <c r="C48" s="243" t="s">
        <v>60</v>
      </c>
      <c r="D48" s="145">
        <v>7.0279999999999996</v>
      </c>
      <c r="E48" s="17"/>
    </row>
    <row r="50" spans="2:27" ht="15.75" x14ac:dyDescent="0.25">
      <c r="B50" s="448" t="s">
        <v>293</v>
      </c>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row>
    <row r="51" spans="2:27" ht="6" customHeight="1" x14ac:dyDescent="0.25">
      <c r="B51" s="116"/>
      <c r="C51" s="116"/>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row>
    <row r="52" spans="2:27" outlineLevel="1" x14ac:dyDescent="0.25">
      <c r="B52" s="118" t="s">
        <v>105</v>
      </c>
      <c r="C52" s="110"/>
    </row>
    <row r="53" spans="2:27" outlineLevel="1" x14ac:dyDescent="0.25">
      <c r="B53" s="3"/>
      <c r="C53" s="27" t="s">
        <v>20</v>
      </c>
      <c r="D53" s="27">
        <f>$C$3</f>
        <v>2023</v>
      </c>
      <c r="E53" s="27">
        <f>$C$3+1</f>
        <v>2024</v>
      </c>
      <c r="F53" s="27">
        <f>$C$3+2</f>
        <v>2025</v>
      </c>
      <c r="G53" s="27">
        <f>$C$3+3</f>
        <v>2026</v>
      </c>
      <c r="H53" s="27">
        <f>$C$3+4</f>
        <v>2027</v>
      </c>
      <c r="I53" s="27">
        <f>H53+1</f>
        <v>2028</v>
      </c>
      <c r="J53" s="27">
        <f t="shared" ref="J53" si="10">I53+1</f>
        <v>2029</v>
      </c>
      <c r="K53" s="27">
        <f t="shared" ref="K53" si="11">J53+1</f>
        <v>2030</v>
      </c>
      <c r="L53" s="27">
        <f t="shared" ref="L53" si="12">K53+1</f>
        <v>2031</v>
      </c>
      <c r="M53" s="27">
        <f t="shared" ref="M53" si="13">L53+1</f>
        <v>2032</v>
      </c>
      <c r="N53" s="27">
        <f t="shared" ref="N53" si="14">M53+1</f>
        <v>2033</v>
      </c>
      <c r="O53" s="27">
        <f t="shared" ref="O53" si="15">N53+1</f>
        <v>2034</v>
      </c>
      <c r="P53" s="27">
        <f t="shared" ref="P53" si="16">O53+1</f>
        <v>2035</v>
      </c>
      <c r="Q53" s="27">
        <f t="shared" ref="Q53" si="17">P53+1</f>
        <v>2036</v>
      </c>
      <c r="R53" s="27">
        <f t="shared" ref="R53" si="18">Q53+1</f>
        <v>2037</v>
      </c>
      <c r="S53" s="27">
        <f t="shared" ref="S53" si="19">R53+1</f>
        <v>2038</v>
      </c>
      <c r="T53" s="27">
        <f t="shared" ref="T53" si="20">S53+1</f>
        <v>2039</v>
      </c>
      <c r="U53" s="27">
        <f t="shared" ref="U53" si="21">T53+1</f>
        <v>2040</v>
      </c>
      <c r="V53" s="27">
        <f t="shared" ref="V53" si="22">U53+1</f>
        <v>2041</v>
      </c>
      <c r="W53" s="27">
        <f t="shared" ref="W53" si="23">V53+1</f>
        <v>2042</v>
      </c>
      <c r="X53" s="27">
        <f t="shared" ref="X53" si="24">W53+1</f>
        <v>2043</v>
      </c>
      <c r="Y53" s="27">
        <f t="shared" ref="Y53" si="25">X53+1</f>
        <v>2044</v>
      </c>
      <c r="Z53" s="27">
        <f t="shared" ref="Z53" si="26">Y53+1</f>
        <v>2045</v>
      </c>
      <c r="AA53" s="27">
        <f t="shared" ref="AA53" si="27">Z53+1</f>
        <v>2046</v>
      </c>
    </row>
    <row r="54" spans="2:27" outlineLevel="1" x14ac:dyDescent="0.25">
      <c r="B54" s="3" t="s">
        <v>68</v>
      </c>
      <c r="C54" s="39"/>
      <c r="D54" s="21">
        <v>1</v>
      </c>
      <c r="E54" s="21">
        <v>2</v>
      </c>
      <c r="F54" s="21">
        <v>3</v>
      </c>
      <c r="G54" s="21">
        <v>4</v>
      </c>
      <c r="H54" s="21">
        <v>5</v>
      </c>
      <c r="I54" s="21">
        <v>6</v>
      </c>
      <c r="J54" s="21">
        <v>7</v>
      </c>
      <c r="K54" s="21">
        <v>8</v>
      </c>
      <c r="L54" s="21">
        <v>9</v>
      </c>
      <c r="M54" s="21">
        <v>10</v>
      </c>
      <c r="N54" s="21">
        <v>11</v>
      </c>
      <c r="O54" s="21">
        <v>12</v>
      </c>
      <c r="P54" s="21">
        <v>13</v>
      </c>
      <c r="Q54" s="21">
        <v>14</v>
      </c>
      <c r="R54" s="21">
        <v>15</v>
      </c>
      <c r="S54" s="21">
        <v>16</v>
      </c>
      <c r="T54" s="21">
        <v>17</v>
      </c>
      <c r="U54" s="21">
        <v>18</v>
      </c>
      <c r="V54" s="21">
        <v>19</v>
      </c>
      <c r="W54" s="21">
        <v>20</v>
      </c>
      <c r="X54" s="21">
        <v>21</v>
      </c>
      <c r="Y54" s="21">
        <v>22</v>
      </c>
      <c r="Z54" s="21">
        <v>23</v>
      </c>
      <c r="AA54" s="21">
        <v>24</v>
      </c>
    </row>
    <row r="55" spans="2:27" outlineLevel="1" x14ac:dyDescent="0.25">
      <c r="B55" s="446" t="s">
        <v>106</v>
      </c>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row>
    <row r="56" spans="2:27" outlineLevel="1" x14ac:dyDescent="0.25">
      <c r="B56" s="3" t="s">
        <v>167</v>
      </c>
      <c r="C56" s="119" t="s">
        <v>47</v>
      </c>
      <c r="D56" s="36">
        <f>Επενδύσεις!D13</f>
        <v>608347.37628440862</v>
      </c>
      <c r="E56" s="36">
        <f>Επενδύσεις!E13</f>
        <v>355600.21505376342</v>
      </c>
      <c r="F56" s="36">
        <f>Επενδύσεις!F13</f>
        <v>334289.78494623653</v>
      </c>
      <c r="G56" s="36">
        <f>Επενδύσεις!G13</f>
        <v>140558.60215053763</v>
      </c>
      <c r="H56" s="36">
        <f>Επενδύσεις!H13</f>
        <v>88251.182795698929</v>
      </c>
      <c r="I56" s="120"/>
      <c r="J56" s="120"/>
      <c r="K56" s="120"/>
      <c r="L56" s="120"/>
      <c r="M56" s="120"/>
      <c r="N56" s="120"/>
      <c r="O56" s="120"/>
      <c r="P56" s="120"/>
      <c r="Q56" s="120"/>
      <c r="R56" s="120"/>
      <c r="S56" s="120"/>
      <c r="T56" s="120"/>
      <c r="U56" s="120"/>
      <c r="V56" s="120"/>
      <c r="W56" s="120"/>
      <c r="X56" s="120"/>
      <c r="Y56" s="120"/>
      <c r="Z56" s="120"/>
      <c r="AA56" s="120"/>
    </row>
    <row r="57" spans="2:27" outlineLevel="1" x14ac:dyDescent="0.25">
      <c r="B57" s="3" t="s">
        <v>107</v>
      </c>
      <c r="C57" s="119" t="s">
        <v>47</v>
      </c>
      <c r="D57" s="120"/>
      <c r="E57" s="120"/>
      <c r="F57" s="120"/>
      <c r="G57" s="120"/>
      <c r="H57" s="120"/>
      <c r="I57" s="36"/>
      <c r="J57" s="36"/>
      <c r="K57" s="36"/>
      <c r="L57" s="36"/>
      <c r="M57" s="36"/>
      <c r="N57" s="36"/>
      <c r="O57" s="36"/>
      <c r="P57" s="36"/>
      <c r="Q57" s="36"/>
      <c r="R57" s="36"/>
      <c r="S57" s="36"/>
      <c r="T57" s="36"/>
      <c r="U57" s="36"/>
      <c r="V57" s="36"/>
      <c r="W57" s="36"/>
      <c r="X57" s="36"/>
      <c r="Y57" s="36"/>
      <c r="Z57" s="36"/>
      <c r="AA57" s="36"/>
    </row>
    <row r="58" spans="2:27" outlineLevel="1" x14ac:dyDescent="0.25">
      <c r="B58" s="3" t="s">
        <v>108</v>
      </c>
      <c r="C58" s="121" t="s">
        <v>47</v>
      </c>
      <c r="D58" s="36">
        <v>150193.96266666666</v>
      </c>
      <c r="E58" s="36">
        <v>200952.970398</v>
      </c>
      <c r="F58" s="36">
        <v>232422.970398</v>
      </c>
      <c r="G58" s="36">
        <v>283945.47039799998</v>
      </c>
      <c r="H58" s="36">
        <v>300000</v>
      </c>
      <c r="I58" s="36">
        <v>200000</v>
      </c>
      <c r="J58" s="36">
        <f t="shared" ref="J58:AA58" si="28">I58</f>
        <v>200000</v>
      </c>
      <c r="K58" s="36">
        <f t="shared" si="28"/>
        <v>200000</v>
      </c>
      <c r="L58" s="36">
        <f t="shared" si="28"/>
        <v>200000</v>
      </c>
      <c r="M58" s="36">
        <f t="shared" si="28"/>
        <v>200000</v>
      </c>
      <c r="N58" s="36">
        <f t="shared" si="28"/>
        <v>200000</v>
      </c>
      <c r="O58" s="36">
        <f t="shared" si="28"/>
        <v>200000</v>
      </c>
      <c r="P58" s="36">
        <f t="shared" si="28"/>
        <v>200000</v>
      </c>
      <c r="Q58" s="36">
        <f t="shared" si="28"/>
        <v>200000</v>
      </c>
      <c r="R58" s="36">
        <f t="shared" si="28"/>
        <v>200000</v>
      </c>
      <c r="S58" s="36">
        <f t="shared" si="28"/>
        <v>200000</v>
      </c>
      <c r="T58" s="36">
        <f t="shared" si="28"/>
        <v>200000</v>
      </c>
      <c r="U58" s="36">
        <f t="shared" si="28"/>
        <v>200000</v>
      </c>
      <c r="V58" s="36">
        <f t="shared" si="28"/>
        <v>200000</v>
      </c>
      <c r="W58" s="36">
        <f t="shared" si="28"/>
        <v>200000</v>
      </c>
      <c r="X58" s="36">
        <f t="shared" si="28"/>
        <v>200000</v>
      </c>
      <c r="Y58" s="36">
        <f t="shared" si="28"/>
        <v>200000</v>
      </c>
      <c r="Z58" s="36">
        <f t="shared" si="28"/>
        <v>200000</v>
      </c>
      <c r="AA58" s="36">
        <f t="shared" si="28"/>
        <v>200000</v>
      </c>
    </row>
    <row r="59" spans="2:27" outlineLevel="1" x14ac:dyDescent="0.25">
      <c r="B59" s="122" t="s">
        <v>109</v>
      </c>
      <c r="C59" s="121" t="s">
        <v>47</v>
      </c>
      <c r="D59" s="240">
        <f>D56+D58</f>
        <v>758541.33895107522</v>
      </c>
      <c r="E59" s="240">
        <f>E56+E58</f>
        <v>556553.18545176345</v>
      </c>
      <c r="F59" s="240">
        <f>F56+F58</f>
        <v>566712.7553442365</v>
      </c>
      <c r="G59" s="240">
        <f>G56+G58</f>
        <v>424504.07254853763</v>
      </c>
      <c r="H59" s="240">
        <f>H56+H58</f>
        <v>388251.18279569893</v>
      </c>
      <c r="I59" s="240">
        <f>I57+I58</f>
        <v>200000</v>
      </c>
      <c r="J59" s="240">
        <f t="shared" ref="J59:AA59" si="29">J57+J58</f>
        <v>200000</v>
      </c>
      <c r="K59" s="240">
        <f t="shared" si="29"/>
        <v>200000</v>
      </c>
      <c r="L59" s="240">
        <f t="shared" si="29"/>
        <v>200000</v>
      </c>
      <c r="M59" s="240">
        <f t="shared" si="29"/>
        <v>200000</v>
      </c>
      <c r="N59" s="240">
        <f t="shared" si="29"/>
        <v>200000</v>
      </c>
      <c r="O59" s="240">
        <f t="shared" si="29"/>
        <v>200000</v>
      </c>
      <c r="P59" s="240">
        <f t="shared" si="29"/>
        <v>200000</v>
      </c>
      <c r="Q59" s="240">
        <f t="shared" si="29"/>
        <v>200000</v>
      </c>
      <c r="R59" s="240">
        <f t="shared" si="29"/>
        <v>200000</v>
      </c>
      <c r="S59" s="240">
        <f t="shared" si="29"/>
        <v>200000</v>
      </c>
      <c r="T59" s="240">
        <f t="shared" si="29"/>
        <v>200000</v>
      </c>
      <c r="U59" s="240">
        <f t="shared" si="29"/>
        <v>200000</v>
      </c>
      <c r="V59" s="240">
        <f t="shared" si="29"/>
        <v>200000</v>
      </c>
      <c r="W59" s="240">
        <f t="shared" si="29"/>
        <v>200000</v>
      </c>
      <c r="X59" s="240">
        <f t="shared" si="29"/>
        <v>200000</v>
      </c>
      <c r="Y59" s="240">
        <f t="shared" si="29"/>
        <v>200000</v>
      </c>
      <c r="Z59" s="240">
        <f t="shared" si="29"/>
        <v>200000</v>
      </c>
      <c r="AA59" s="240">
        <f t="shared" si="29"/>
        <v>200000</v>
      </c>
    </row>
    <row r="60" spans="2:27" outlineLevel="1" x14ac:dyDescent="0.25">
      <c r="B60" s="17" t="s">
        <v>110</v>
      </c>
    </row>
    <row r="61" spans="2:27" outlineLevel="1" x14ac:dyDescent="0.25">
      <c r="B61" s="17" t="s">
        <v>111</v>
      </c>
    </row>
    <row r="62" spans="2:27" outlineLevel="1" x14ac:dyDescent="0.25">
      <c r="B62" s="446" t="s">
        <v>112</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row>
    <row r="63" spans="2:27" outlineLevel="1" x14ac:dyDescent="0.25">
      <c r="B63" s="123" t="s">
        <v>113</v>
      </c>
      <c r="C63" s="119" t="s">
        <v>26</v>
      </c>
      <c r="D63" s="36">
        <f>'Διανεμόμενες ποσότητες αερίου'!T16</f>
        <v>5155</v>
      </c>
      <c r="E63" s="36">
        <f>'Διανεμόμενες ποσότητες αερίου'!Z16</f>
        <v>11243.823529411764</v>
      </c>
      <c r="F63" s="36">
        <f>'Διανεμόμενες ποσότητες αερίου'!AF16</f>
        <v>16812.647058823528</v>
      </c>
      <c r="G63" s="36">
        <f>'Διανεμόμενες ποσότητες αερίου'!AL16</f>
        <v>18172.647058823528</v>
      </c>
      <c r="H63" s="36">
        <f>'Διανεμόμενες ποσότητες αερίου'!AR16</f>
        <v>18452.647058823528</v>
      </c>
      <c r="I63" s="36">
        <f>H63*1.15</f>
        <v>21220.544117647056</v>
      </c>
      <c r="J63" s="36">
        <f t="shared" ref="J63:S63" si="30">I63*1.15</f>
        <v>24403.625735294114</v>
      </c>
      <c r="K63" s="36">
        <f t="shared" si="30"/>
        <v>28064.169595588228</v>
      </c>
      <c r="L63" s="36">
        <f t="shared" si="30"/>
        <v>32273.795034926461</v>
      </c>
      <c r="M63" s="36">
        <f t="shared" si="30"/>
        <v>37114.864290165424</v>
      </c>
      <c r="N63" s="36">
        <f t="shared" si="30"/>
        <v>42682.093933690237</v>
      </c>
      <c r="O63" s="36">
        <f t="shared" si="30"/>
        <v>49084.408023743767</v>
      </c>
      <c r="P63" s="36">
        <f t="shared" si="30"/>
        <v>56447.069227305328</v>
      </c>
      <c r="Q63" s="36">
        <f t="shared" si="30"/>
        <v>64914.12961140112</v>
      </c>
      <c r="R63" s="36">
        <f t="shared" si="30"/>
        <v>74651.249053111285</v>
      </c>
      <c r="S63" s="36">
        <f t="shared" si="30"/>
        <v>85848.936411077972</v>
      </c>
      <c r="T63" s="36">
        <f>S63*1.05</f>
        <v>90141.383231631873</v>
      </c>
      <c r="U63" s="36">
        <f>T63*1.1</f>
        <v>99155.521554795065</v>
      </c>
      <c r="V63" s="36">
        <f t="shared" ref="V63:AA63" si="31">U63*1.1</f>
        <v>109071.07371027458</v>
      </c>
      <c r="W63" s="36">
        <f t="shared" si="31"/>
        <v>119978.18108130204</v>
      </c>
      <c r="X63" s="36">
        <f t="shared" si="31"/>
        <v>131975.99918943224</v>
      </c>
      <c r="Y63" s="36">
        <f t="shared" si="31"/>
        <v>145173.59910837549</v>
      </c>
      <c r="Z63" s="36">
        <f t="shared" si="31"/>
        <v>159690.95901921304</v>
      </c>
      <c r="AA63" s="36">
        <f t="shared" si="31"/>
        <v>175660.05492113435</v>
      </c>
    </row>
    <row r="64" spans="2:27" outlineLevel="1" x14ac:dyDescent="0.25">
      <c r="B64" s="123" t="s">
        <v>114</v>
      </c>
      <c r="C64" s="121" t="s">
        <v>47</v>
      </c>
      <c r="D64" s="180">
        <f t="shared" ref="D64:AA64" si="32">D63*$D$12</f>
        <v>36085</v>
      </c>
      <c r="E64" s="180">
        <f t="shared" si="32"/>
        <v>78706.76470588235</v>
      </c>
      <c r="F64" s="180">
        <f t="shared" si="32"/>
        <v>117688.5294117647</v>
      </c>
      <c r="G64" s="180">
        <f t="shared" si="32"/>
        <v>127208.5294117647</v>
      </c>
      <c r="H64" s="180">
        <f t="shared" si="32"/>
        <v>129168.5294117647</v>
      </c>
      <c r="I64" s="180">
        <f t="shared" si="32"/>
        <v>148543.8088235294</v>
      </c>
      <c r="J64" s="180">
        <f t="shared" si="32"/>
        <v>170825.38014705881</v>
      </c>
      <c r="K64" s="180">
        <f t="shared" si="32"/>
        <v>196449.18716911759</v>
      </c>
      <c r="L64" s="180">
        <f t="shared" si="32"/>
        <v>225916.56524448522</v>
      </c>
      <c r="M64" s="180">
        <f t="shared" si="32"/>
        <v>259804.05003115797</v>
      </c>
      <c r="N64" s="180">
        <f t="shared" si="32"/>
        <v>298774.65753583168</v>
      </c>
      <c r="O64" s="180">
        <f t="shared" si="32"/>
        <v>343590.85616620636</v>
      </c>
      <c r="P64" s="180">
        <f t="shared" si="32"/>
        <v>395129.48459113727</v>
      </c>
      <c r="Q64" s="180">
        <f t="shared" si="32"/>
        <v>454398.90727980784</v>
      </c>
      <c r="R64" s="180">
        <f t="shared" si="32"/>
        <v>522558.74337177898</v>
      </c>
      <c r="S64" s="180">
        <f t="shared" si="32"/>
        <v>600942.5548775458</v>
      </c>
      <c r="T64" s="180">
        <f t="shared" si="32"/>
        <v>630989.68262142316</v>
      </c>
      <c r="U64" s="180">
        <f t="shared" si="32"/>
        <v>694088.65088356542</v>
      </c>
      <c r="V64" s="180">
        <f t="shared" si="32"/>
        <v>763497.51597192208</v>
      </c>
      <c r="W64" s="180">
        <f t="shared" si="32"/>
        <v>839847.26756911434</v>
      </c>
      <c r="X64" s="180">
        <f t="shared" si="32"/>
        <v>923831.99432602571</v>
      </c>
      <c r="Y64" s="180">
        <f t="shared" si="32"/>
        <v>1016215.1937586284</v>
      </c>
      <c r="Z64" s="180">
        <f t="shared" si="32"/>
        <v>1117836.7131344914</v>
      </c>
      <c r="AA64" s="180">
        <f t="shared" si="32"/>
        <v>1229620.3844479404</v>
      </c>
    </row>
    <row r="65" spans="2:27" outlineLevel="1" x14ac:dyDescent="0.25">
      <c r="B65" s="122" t="s">
        <v>115</v>
      </c>
      <c r="C65" s="121" t="s">
        <v>47</v>
      </c>
      <c r="D65" s="240">
        <f>D64</f>
        <v>36085</v>
      </c>
      <c r="E65" s="240">
        <f t="shared" ref="E65:G65" si="33">E64</f>
        <v>78706.76470588235</v>
      </c>
      <c r="F65" s="240">
        <f t="shared" si="33"/>
        <v>117688.5294117647</v>
      </c>
      <c r="G65" s="240">
        <f t="shared" si="33"/>
        <v>127208.5294117647</v>
      </c>
      <c r="H65" s="240">
        <f>H64</f>
        <v>129168.5294117647</v>
      </c>
      <c r="I65" s="240">
        <f t="shared" ref="I65:AA65" si="34">I64</f>
        <v>148543.8088235294</v>
      </c>
      <c r="J65" s="240">
        <f t="shared" si="34"/>
        <v>170825.38014705881</v>
      </c>
      <c r="K65" s="240">
        <f t="shared" si="34"/>
        <v>196449.18716911759</v>
      </c>
      <c r="L65" s="240">
        <f t="shared" si="34"/>
        <v>225916.56524448522</v>
      </c>
      <c r="M65" s="240">
        <f t="shared" si="34"/>
        <v>259804.05003115797</v>
      </c>
      <c r="N65" s="240">
        <f t="shared" si="34"/>
        <v>298774.65753583168</v>
      </c>
      <c r="O65" s="240">
        <f t="shared" si="34"/>
        <v>343590.85616620636</v>
      </c>
      <c r="P65" s="240">
        <f t="shared" si="34"/>
        <v>395129.48459113727</v>
      </c>
      <c r="Q65" s="240">
        <f t="shared" si="34"/>
        <v>454398.90727980784</v>
      </c>
      <c r="R65" s="240">
        <f t="shared" si="34"/>
        <v>522558.74337177898</v>
      </c>
      <c r="S65" s="240">
        <f t="shared" si="34"/>
        <v>600942.5548775458</v>
      </c>
      <c r="T65" s="240">
        <f t="shared" si="34"/>
        <v>630989.68262142316</v>
      </c>
      <c r="U65" s="240">
        <f t="shared" si="34"/>
        <v>694088.65088356542</v>
      </c>
      <c r="V65" s="240">
        <f t="shared" si="34"/>
        <v>763497.51597192208</v>
      </c>
      <c r="W65" s="240">
        <f t="shared" si="34"/>
        <v>839847.26756911434</v>
      </c>
      <c r="X65" s="240">
        <f t="shared" si="34"/>
        <v>923831.99432602571</v>
      </c>
      <c r="Y65" s="240">
        <f t="shared" si="34"/>
        <v>1016215.1937586284</v>
      </c>
      <c r="Z65" s="240">
        <f t="shared" si="34"/>
        <v>1117836.7131344914</v>
      </c>
      <c r="AA65" s="240">
        <f t="shared" si="34"/>
        <v>1229620.3844479404</v>
      </c>
    </row>
    <row r="66" spans="2:27" outlineLevel="1" x14ac:dyDescent="0.25">
      <c r="B66" s="124" t="s">
        <v>116</v>
      </c>
    </row>
    <row r="67" spans="2:27" outlineLevel="1" x14ac:dyDescent="0.25">
      <c r="B67" s="3" t="s">
        <v>117</v>
      </c>
      <c r="C67" s="125" t="s">
        <v>47</v>
      </c>
      <c r="D67" s="181">
        <f>D65-D59</f>
        <v>-722456.33895107522</v>
      </c>
      <c r="E67" s="181">
        <f t="shared" ref="E67:AA67" si="35">E65-E59</f>
        <v>-477846.4207458811</v>
      </c>
      <c r="F67" s="181">
        <f t="shared" si="35"/>
        <v>-449024.2259324718</v>
      </c>
      <c r="G67" s="181">
        <f t="shared" si="35"/>
        <v>-297295.54313677293</v>
      </c>
      <c r="H67" s="181">
        <f t="shared" si="35"/>
        <v>-259082.65338393423</v>
      </c>
      <c r="I67" s="181">
        <f t="shared" si="35"/>
        <v>-51456.191176470602</v>
      </c>
      <c r="J67" s="181">
        <f t="shared" si="35"/>
        <v>-29174.619852941192</v>
      </c>
      <c r="K67" s="181">
        <f t="shared" si="35"/>
        <v>-3550.8128308824089</v>
      </c>
      <c r="L67" s="181">
        <f t="shared" si="35"/>
        <v>25916.565244485217</v>
      </c>
      <c r="M67" s="181">
        <f t="shared" si="35"/>
        <v>59804.050031157967</v>
      </c>
      <c r="N67" s="181">
        <f t="shared" si="35"/>
        <v>98774.657535831677</v>
      </c>
      <c r="O67" s="181">
        <f t="shared" si="35"/>
        <v>143590.85616620636</v>
      </c>
      <c r="P67" s="181">
        <f t="shared" si="35"/>
        <v>195129.48459113727</v>
      </c>
      <c r="Q67" s="181">
        <f t="shared" si="35"/>
        <v>254398.90727980784</v>
      </c>
      <c r="R67" s="181">
        <f t="shared" si="35"/>
        <v>322558.74337177898</v>
      </c>
      <c r="S67" s="181">
        <f t="shared" si="35"/>
        <v>400942.5548775458</v>
      </c>
      <c r="T67" s="181">
        <f t="shared" si="35"/>
        <v>430989.68262142316</v>
      </c>
      <c r="U67" s="181">
        <f t="shared" si="35"/>
        <v>494088.65088356542</v>
      </c>
      <c r="V67" s="181">
        <f t="shared" si="35"/>
        <v>563497.51597192208</v>
      </c>
      <c r="W67" s="181">
        <f t="shared" si="35"/>
        <v>639847.26756911434</v>
      </c>
      <c r="X67" s="181">
        <f t="shared" si="35"/>
        <v>723831.99432602571</v>
      </c>
      <c r="Y67" s="181">
        <f t="shared" si="35"/>
        <v>816215.19375862845</v>
      </c>
      <c r="Z67" s="181">
        <f t="shared" si="35"/>
        <v>917836.71313449135</v>
      </c>
      <c r="AA67" s="181">
        <f t="shared" si="35"/>
        <v>1029620.3844479404</v>
      </c>
    </row>
    <row r="68" spans="2:27" outlineLevel="1" x14ac:dyDescent="0.25">
      <c r="B68" s="3" t="s">
        <v>69</v>
      </c>
      <c r="C68" s="125" t="s">
        <v>47</v>
      </c>
      <c r="D68" s="181">
        <f>D67*1/(1+D47)</f>
        <v>-675003.58679909853</v>
      </c>
      <c r="E68" s="181">
        <f>E67*1/(1+E47)*(1/(1+D47))</f>
        <v>-417135.62942578655</v>
      </c>
      <c r="F68" s="181">
        <f>F67*1/(1+F47)*(1/(1+E47))*(1/(1+D47))</f>
        <v>-366229.39251158875</v>
      </c>
      <c r="G68" s="181">
        <f>G67*1/(1+G47)*(1/(1+F47)*(1/(1+E47))*(1/(1+D47)))</f>
        <v>-226551.16347652723</v>
      </c>
      <c r="H68" s="181">
        <f>H67*1/(1+$H$11)*(1/(1+$G$11)*(1/(1+$F$11)*(1/(1+$E$11))*(1/(1+$D$11))))</f>
        <v>-184463.61231111028</v>
      </c>
      <c r="I68" s="181">
        <f t="shared" ref="I68:AA68" si="36">I67*(1/((1+$H$11)^(I54-$G$18))*(1/(1+$G$11)*(1/(1+$F$11)*(1/(1+$E$11))*((1/(1+$D$11))))))</f>
        <v>-34229.809623438989</v>
      </c>
      <c r="J68" s="181">
        <f t="shared" si="36"/>
        <v>-18132.869161227962</v>
      </c>
      <c r="K68" s="181">
        <f t="shared" si="36"/>
        <v>-2061.9758625011332</v>
      </c>
      <c r="L68" s="181">
        <f t="shared" si="36"/>
        <v>14061.372541359</v>
      </c>
      <c r="M68" s="181">
        <f t="shared" si="36"/>
        <v>30316.240373639917</v>
      </c>
      <c r="N68" s="181">
        <f t="shared" si="36"/>
        <v>46782.642907548514</v>
      </c>
      <c r="O68" s="181">
        <f t="shared" si="36"/>
        <v>63541.941426006248</v>
      </c>
      <c r="P68" s="181">
        <f t="shared" si="36"/>
        <v>80677.246402239471</v>
      </c>
      <c r="Q68" s="181">
        <f t="shared" si="36"/>
        <v>98273.830804745143</v>
      </c>
      <c r="R68" s="181">
        <f t="shared" si="36"/>
        <v>116419.55558752964</v>
      </c>
      <c r="S68" s="181">
        <f t="shared" si="36"/>
        <v>135205.30949413567</v>
      </c>
      <c r="T68" s="181">
        <f t="shared" si="36"/>
        <v>135791.61125756352</v>
      </c>
      <c r="U68" s="181">
        <f t="shared" si="36"/>
        <v>145447.21861954703</v>
      </c>
      <c r="V68" s="181">
        <f t="shared" si="36"/>
        <v>154984.05615330351</v>
      </c>
      <c r="W68" s="181">
        <f t="shared" si="36"/>
        <v>164424.22787830327</v>
      </c>
      <c r="X68" s="181">
        <f t="shared" si="36"/>
        <v>173788.78286128878</v>
      </c>
      <c r="Y68" s="181">
        <f t="shared" si="36"/>
        <v>183097.79552175599</v>
      </c>
      <c r="Z68" s="181">
        <f t="shared" si="36"/>
        <v>192370.44096838613</v>
      </c>
      <c r="AA68" s="181">
        <f t="shared" si="36"/>
        <v>201625.06570128916</v>
      </c>
    </row>
    <row r="69" spans="2:27" outlineLevel="1" x14ac:dyDescent="0.2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2:27" outlineLevel="1" x14ac:dyDescent="0.25">
      <c r="B70" s="42" t="s">
        <v>168</v>
      </c>
      <c r="C70" s="126" t="s">
        <v>47</v>
      </c>
      <c r="D70" s="127">
        <f>SUM(D68:AA68)</f>
        <v>12999.299327361165</v>
      </c>
      <c r="E70" s="40"/>
      <c r="F70" s="40"/>
      <c r="G70" s="40"/>
      <c r="H70" s="40"/>
    </row>
    <row r="71" spans="2:27" ht="4.9000000000000004" customHeight="1" outlineLevel="1" x14ac:dyDescent="0.25"/>
    <row r="72" spans="2:27" outlineLevel="1" x14ac:dyDescent="0.25">
      <c r="B72" s="42" t="s">
        <v>118</v>
      </c>
      <c r="C72" s="42"/>
      <c r="D72" s="241">
        <f>IFERROR(IRR(D67:AA67),0)</f>
        <v>7.0745829034869478E-2</v>
      </c>
    </row>
    <row r="73" spans="2:27" ht="4.9000000000000004" customHeight="1" outlineLevel="1" x14ac:dyDescent="0.25"/>
    <row r="74" spans="2:27" outlineLevel="1" x14ac:dyDescent="0.25">
      <c r="B74" s="42" t="s">
        <v>119</v>
      </c>
    </row>
    <row r="75" spans="2:27" outlineLevel="1" x14ac:dyDescent="0.25">
      <c r="B75" s="3" t="s">
        <v>68</v>
      </c>
      <c r="C75" s="39"/>
      <c r="D75" s="21">
        <v>1</v>
      </c>
      <c r="E75" s="21">
        <v>2</v>
      </c>
      <c r="F75" s="21">
        <v>3</v>
      </c>
      <c r="G75" s="21">
        <v>4</v>
      </c>
      <c r="H75" s="21">
        <v>5</v>
      </c>
      <c r="I75" s="21">
        <v>6</v>
      </c>
      <c r="J75" s="21">
        <v>7</v>
      </c>
      <c r="K75" s="21">
        <v>8</v>
      </c>
      <c r="L75" s="21">
        <v>9</v>
      </c>
      <c r="M75" s="21">
        <v>10</v>
      </c>
      <c r="N75" s="21">
        <v>11</v>
      </c>
      <c r="O75" s="21">
        <v>12</v>
      </c>
      <c r="P75" s="21">
        <v>13</v>
      </c>
      <c r="Q75" s="21">
        <v>14</v>
      </c>
      <c r="R75" s="21">
        <v>15</v>
      </c>
      <c r="S75" s="21">
        <v>16</v>
      </c>
      <c r="T75" s="21">
        <v>17</v>
      </c>
      <c r="U75" s="21">
        <v>18</v>
      </c>
      <c r="V75" s="21">
        <v>19</v>
      </c>
      <c r="W75" s="21">
        <v>20</v>
      </c>
      <c r="X75" s="21">
        <v>21</v>
      </c>
      <c r="Y75" s="21">
        <v>22</v>
      </c>
      <c r="Z75" s="21">
        <v>23</v>
      </c>
      <c r="AA75" s="21">
        <v>24</v>
      </c>
    </row>
    <row r="76" spans="2:27" outlineLevel="1" x14ac:dyDescent="0.25">
      <c r="B76" s="3" t="s">
        <v>117</v>
      </c>
      <c r="C76" s="125" t="s">
        <v>47</v>
      </c>
      <c r="D76" s="180">
        <f>D67</f>
        <v>-722456.33895107522</v>
      </c>
      <c r="E76" s="180">
        <f>E67</f>
        <v>-477846.4207458811</v>
      </c>
      <c r="F76" s="180">
        <f t="shared" ref="F76:AA76" si="37">F67</f>
        <v>-449024.2259324718</v>
      </c>
      <c r="G76" s="180">
        <f t="shared" si="37"/>
        <v>-297295.54313677293</v>
      </c>
      <c r="H76" s="180">
        <f t="shared" si="37"/>
        <v>-259082.65338393423</v>
      </c>
      <c r="I76" s="180">
        <f t="shared" si="37"/>
        <v>-51456.191176470602</v>
      </c>
      <c r="J76" s="180">
        <f t="shared" si="37"/>
        <v>-29174.619852941192</v>
      </c>
      <c r="K76" s="180">
        <f t="shared" si="37"/>
        <v>-3550.8128308824089</v>
      </c>
      <c r="L76" s="180">
        <f t="shared" si="37"/>
        <v>25916.565244485217</v>
      </c>
      <c r="M76" s="180">
        <f t="shared" si="37"/>
        <v>59804.050031157967</v>
      </c>
      <c r="N76" s="180">
        <f t="shared" si="37"/>
        <v>98774.657535831677</v>
      </c>
      <c r="O76" s="180">
        <f t="shared" si="37"/>
        <v>143590.85616620636</v>
      </c>
      <c r="P76" s="180">
        <f t="shared" si="37"/>
        <v>195129.48459113727</v>
      </c>
      <c r="Q76" s="180">
        <f t="shared" si="37"/>
        <v>254398.90727980784</v>
      </c>
      <c r="R76" s="180">
        <f t="shared" si="37"/>
        <v>322558.74337177898</v>
      </c>
      <c r="S76" s="180">
        <f t="shared" si="37"/>
        <v>400942.5548775458</v>
      </c>
      <c r="T76" s="180">
        <f t="shared" si="37"/>
        <v>430989.68262142316</v>
      </c>
      <c r="U76" s="180">
        <f t="shared" si="37"/>
        <v>494088.65088356542</v>
      </c>
      <c r="V76" s="180">
        <f t="shared" si="37"/>
        <v>563497.51597192208</v>
      </c>
      <c r="W76" s="180">
        <f t="shared" si="37"/>
        <v>639847.26756911434</v>
      </c>
      <c r="X76" s="180">
        <f t="shared" si="37"/>
        <v>723831.99432602571</v>
      </c>
      <c r="Y76" s="180">
        <f t="shared" si="37"/>
        <v>816215.19375862845</v>
      </c>
      <c r="Z76" s="180">
        <f t="shared" si="37"/>
        <v>917836.71313449135</v>
      </c>
      <c r="AA76" s="180">
        <f t="shared" si="37"/>
        <v>1029620.3844479404</v>
      </c>
    </row>
    <row r="77" spans="2:27" outlineLevel="1" x14ac:dyDescent="0.25">
      <c r="B77" s="128" t="s">
        <v>120</v>
      </c>
      <c r="C77" s="129" t="s">
        <v>47</v>
      </c>
      <c r="D77" s="242">
        <f>D56*1/(1+D47)</f>
        <v>568389.58823171875</v>
      </c>
      <c r="E77" s="242">
        <f>E56*1/(1+E47)*(1/(1+D47))</f>
        <v>310420.90740966436</v>
      </c>
      <c r="F77" s="242">
        <f>F56*1/(1+F47)*(1/(1+E47))*(1/(1+D47))</f>
        <v>272650.6450948182</v>
      </c>
      <c r="G77" s="242">
        <f>G56*1/(1+G47)*(1/(1+F47)*(1/(1+E47))*(1/(1+D47)))</f>
        <v>107111.30923072291</v>
      </c>
      <c r="H77" s="242">
        <f>H56*1/(1+$H$11)*(1/(1+$G$11)*(1/(1+$F$11)*(1/(1+$E$11))*(1/(1+$D$11))))</f>
        <v>62833.739567653371</v>
      </c>
    </row>
    <row r="78" spans="2:27" outlineLevel="1" x14ac:dyDescent="0.25">
      <c r="B78" s="3" t="s">
        <v>121</v>
      </c>
      <c r="C78" s="125" t="s">
        <v>47</v>
      </c>
      <c r="D78" s="181">
        <f>D76-D77</f>
        <v>-1290845.9271827941</v>
      </c>
      <c r="E78" s="181">
        <f>D78+E76-E77</f>
        <v>-2079113.2553383396</v>
      </c>
      <c r="F78" s="181">
        <f>E78+F76-F77</f>
        <v>-2800788.12636563</v>
      </c>
      <c r="G78" s="181">
        <f>F78+G76-G77</f>
        <v>-3205194.9787331256</v>
      </c>
      <c r="H78" s="181">
        <f>G78+H76-H77</f>
        <v>-3527111.3716847133</v>
      </c>
      <c r="I78" s="181">
        <f t="shared" ref="I78" si="38">H78+I76</f>
        <v>-3578567.5628611837</v>
      </c>
      <c r="J78" s="181">
        <f t="shared" ref="J78" si="39">I78+J76</f>
        <v>-3607742.1827141247</v>
      </c>
      <c r="K78" s="181">
        <f t="shared" ref="K78" si="40">J78+K76</f>
        <v>-3611292.9955450073</v>
      </c>
      <c r="L78" s="181">
        <f t="shared" ref="L78" si="41">K78+L76</f>
        <v>-3585376.4303005221</v>
      </c>
      <c r="M78" s="181">
        <f t="shared" ref="M78" si="42">L78+M76</f>
        <v>-3525572.380269364</v>
      </c>
      <c r="N78" s="181">
        <f t="shared" ref="N78" si="43">M78+N76</f>
        <v>-3426797.7227335321</v>
      </c>
      <c r="O78" s="181">
        <f t="shared" ref="O78" si="44">N78+O76</f>
        <v>-3283206.8665673258</v>
      </c>
      <c r="P78" s="181">
        <f t="shared" ref="P78" si="45">O78+P76</f>
        <v>-3088077.3819761886</v>
      </c>
      <c r="Q78" s="181">
        <f t="shared" ref="Q78" si="46">P78+Q76</f>
        <v>-2833678.474696381</v>
      </c>
      <c r="R78" s="181">
        <f t="shared" ref="R78" si="47">Q78+R76</f>
        <v>-2511119.7313246019</v>
      </c>
      <c r="S78" s="181">
        <f t="shared" ref="S78" si="48">R78+S76</f>
        <v>-2110177.1764470562</v>
      </c>
      <c r="T78" s="181">
        <f t="shared" ref="T78" si="49">S78+T76</f>
        <v>-1679187.4938256331</v>
      </c>
      <c r="U78" s="181">
        <f t="shared" ref="U78" si="50">T78+U76</f>
        <v>-1185098.8429420677</v>
      </c>
      <c r="V78" s="181">
        <f t="shared" ref="V78" si="51">U78+V76</f>
        <v>-621601.32697014557</v>
      </c>
      <c r="W78" s="181">
        <f t="shared" ref="W78" si="52">V78+W76</f>
        <v>18245.940598968766</v>
      </c>
      <c r="X78" s="181">
        <f t="shared" ref="X78" si="53">W78+X76</f>
        <v>742077.93492499448</v>
      </c>
      <c r="Y78" s="181">
        <f t="shared" ref="Y78" si="54">X78+Y76</f>
        <v>1558293.1286836229</v>
      </c>
      <c r="Z78" s="181">
        <f t="shared" ref="Z78" si="55">Y78+Z76</f>
        <v>2476129.8418181143</v>
      </c>
      <c r="AA78" s="181">
        <f t="shared" ref="AA78" si="56">Z78+AA76</f>
        <v>3505750.2262660544</v>
      </c>
    </row>
    <row r="79" spans="2:27" outlineLevel="1" x14ac:dyDescent="0.25">
      <c r="B79" s="130" t="s">
        <v>122</v>
      </c>
    </row>
    <row r="81" spans="2:27" ht="14.45" customHeight="1" x14ac:dyDescent="0.25">
      <c r="B81" s="445" t="s">
        <v>104</v>
      </c>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row>
    <row r="83" spans="2:27" x14ac:dyDescent="0.25">
      <c r="B83" s="3" t="s">
        <v>70</v>
      </c>
      <c r="C83" s="3" t="s">
        <v>55</v>
      </c>
      <c r="D83" s="41">
        <v>7.0300000000000001E-2</v>
      </c>
      <c r="E83" s="41">
        <v>7.0300000000000001E-2</v>
      </c>
      <c r="F83" s="41">
        <v>7.0300000000000001E-2</v>
      </c>
      <c r="G83" s="41">
        <v>7.0300000000000001E-2</v>
      </c>
      <c r="H83" s="41">
        <v>7.0300000000000001E-2</v>
      </c>
      <c r="I83" s="17" t="s">
        <v>71</v>
      </c>
    </row>
    <row r="84" spans="2:27" x14ac:dyDescent="0.25">
      <c r="B84" s="3" t="s">
        <v>72</v>
      </c>
      <c r="C84" s="243" t="s">
        <v>60</v>
      </c>
      <c r="D84" s="145">
        <v>7.0279999999999996</v>
      </c>
      <c r="E84" s="17"/>
    </row>
    <row r="86" spans="2:27" ht="15.75" x14ac:dyDescent="0.25">
      <c r="B86" s="448" t="s">
        <v>294</v>
      </c>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row>
    <row r="87" spans="2:27" ht="6" customHeight="1" x14ac:dyDescent="0.25">
      <c r="B87" s="116"/>
      <c r="C87" s="116"/>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row>
    <row r="88" spans="2:27" outlineLevel="1" x14ac:dyDescent="0.25">
      <c r="B88" s="118" t="s">
        <v>105</v>
      </c>
      <c r="C88" s="110"/>
    </row>
    <row r="89" spans="2:27" outlineLevel="1" x14ac:dyDescent="0.25">
      <c r="B89" s="3"/>
      <c r="C89" s="27" t="s">
        <v>20</v>
      </c>
      <c r="D89" s="27">
        <f>$C$3</f>
        <v>2023</v>
      </c>
      <c r="E89" s="27">
        <f>$C$3+1</f>
        <v>2024</v>
      </c>
      <c r="F89" s="27">
        <f>$C$3+2</f>
        <v>2025</v>
      </c>
      <c r="G89" s="27">
        <f>$C$3+3</f>
        <v>2026</v>
      </c>
      <c r="H89" s="27">
        <f>$C$3+4</f>
        <v>2027</v>
      </c>
      <c r="I89" s="27">
        <f>H89+1</f>
        <v>2028</v>
      </c>
      <c r="J89" s="27">
        <f t="shared" ref="J89" si="57">I89+1</f>
        <v>2029</v>
      </c>
      <c r="K89" s="27">
        <f t="shared" ref="K89" si="58">J89+1</f>
        <v>2030</v>
      </c>
      <c r="L89" s="27">
        <f t="shared" ref="L89" si="59">K89+1</f>
        <v>2031</v>
      </c>
      <c r="M89" s="27">
        <f t="shared" ref="M89" si="60">L89+1</f>
        <v>2032</v>
      </c>
      <c r="N89" s="27">
        <f t="shared" ref="N89" si="61">M89+1</f>
        <v>2033</v>
      </c>
      <c r="O89" s="27">
        <f t="shared" ref="O89" si="62">N89+1</f>
        <v>2034</v>
      </c>
      <c r="P89" s="27">
        <f t="shared" ref="P89" si="63">O89+1</f>
        <v>2035</v>
      </c>
      <c r="Q89" s="27">
        <f t="shared" ref="Q89" si="64">P89+1</f>
        <v>2036</v>
      </c>
      <c r="R89" s="27">
        <f t="shared" ref="R89" si="65">Q89+1</f>
        <v>2037</v>
      </c>
      <c r="S89" s="27">
        <f t="shared" ref="S89" si="66">R89+1</f>
        <v>2038</v>
      </c>
      <c r="T89" s="27">
        <f t="shared" ref="T89" si="67">S89+1</f>
        <v>2039</v>
      </c>
      <c r="U89" s="27">
        <f t="shared" ref="U89" si="68">T89+1</f>
        <v>2040</v>
      </c>
      <c r="V89" s="27">
        <f t="shared" ref="V89" si="69">U89+1</f>
        <v>2041</v>
      </c>
      <c r="W89" s="27">
        <f t="shared" ref="W89" si="70">V89+1</f>
        <v>2042</v>
      </c>
      <c r="X89" s="27">
        <f t="shared" ref="X89" si="71">W89+1</f>
        <v>2043</v>
      </c>
      <c r="Y89" s="27">
        <f t="shared" ref="Y89" si="72">X89+1</f>
        <v>2044</v>
      </c>
      <c r="Z89" s="27">
        <f t="shared" ref="Z89" si="73">Y89+1</f>
        <v>2045</v>
      </c>
      <c r="AA89" s="27">
        <f t="shared" ref="AA89" si="74">Z89+1</f>
        <v>2046</v>
      </c>
    </row>
    <row r="90" spans="2:27" outlineLevel="1" x14ac:dyDescent="0.25">
      <c r="B90" s="3" t="s">
        <v>68</v>
      </c>
      <c r="C90" s="39"/>
      <c r="D90" s="21">
        <v>1</v>
      </c>
      <c r="E90" s="21">
        <v>2</v>
      </c>
      <c r="F90" s="21">
        <v>3</v>
      </c>
      <c r="G90" s="21">
        <v>4</v>
      </c>
      <c r="H90" s="21">
        <v>5</v>
      </c>
      <c r="I90" s="21">
        <v>6</v>
      </c>
      <c r="J90" s="21">
        <v>7</v>
      </c>
      <c r="K90" s="21">
        <v>8</v>
      </c>
      <c r="L90" s="21">
        <v>9</v>
      </c>
      <c r="M90" s="21">
        <v>10</v>
      </c>
      <c r="N90" s="21">
        <v>11</v>
      </c>
      <c r="O90" s="21">
        <v>12</v>
      </c>
      <c r="P90" s="21">
        <v>13</v>
      </c>
      <c r="Q90" s="21">
        <v>14</v>
      </c>
      <c r="R90" s="21">
        <v>15</v>
      </c>
      <c r="S90" s="21">
        <v>16</v>
      </c>
      <c r="T90" s="21">
        <v>17</v>
      </c>
      <c r="U90" s="21">
        <v>18</v>
      </c>
      <c r="V90" s="21">
        <v>19</v>
      </c>
      <c r="W90" s="21">
        <v>20</v>
      </c>
      <c r="X90" s="21">
        <v>21</v>
      </c>
      <c r="Y90" s="21">
        <v>22</v>
      </c>
      <c r="Z90" s="21">
        <v>23</v>
      </c>
      <c r="AA90" s="21">
        <v>24</v>
      </c>
    </row>
    <row r="91" spans="2:27" outlineLevel="1" x14ac:dyDescent="0.25">
      <c r="B91" s="446" t="s">
        <v>106</v>
      </c>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row>
    <row r="92" spans="2:27" outlineLevel="1" x14ac:dyDescent="0.25">
      <c r="B92" s="3" t="s">
        <v>167</v>
      </c>
      <c r="C92" s="119" t="s">
        <v>47</v>
      </c>
      <c r="D92" s="36">
        <f>Επενδύσεις!D14</f>
        <v>494141.86281035905</v>
      </c>
      <c r="E92" s="36">
        <f>Επενδύσεις!E14</f>
        <v>350048.6324786325</v>
      </c>
      <c r="F92" s="36">
        <f>Επενδύσεις!F14</f>
        <v>293813.41880341881</v>
      </c>
      <c r="G92" s="36">
        <f>Επενδύσεις!G14</f>
        <v>141590.51282051281</v>
      </c>
      <c r="H92" s="36">
        <f>Επενδύσεις!H14</f>
        <v>109594.61538461539</v>
      </c>
      <c r="I92" s="120"/>
      <c r="J92" s="120"/>
      <c r="K92" s="120"/>
      <c r="L92" s="120"/>
      <c r="M92" s="120"/>
      <c r="N92" s="120"/>
      <c r="O92" s="120"/>
      <c r="P92" s="120"/>
      <c r="Q92" s="120"/>
      <c r="R92" s="120"/>
      <c r="S92" s="120"/>
      <c r="T92" s="120"/>
      <c r="U92" s="120"/>
      <c r="V92" s="120"/>
      <c r="W92" s="120"/>
      <c r="X92" s="120"/>
      <c r="Y92" s="120"/>
      <c r="Z92" s="120"/>
      <c r="AA92" s="120"/>
    </row>
    <row r="93" spans="2:27" outlineLevel="1" x14ac:dyDescent="0.25">
      <c r="B93" s="3" t="s">
        <v>107</v>
      </c>
      <c r="C93" s="119" t="s">
        <v>47</v>
      </c>
      <c r="D93" s="120"/>
      <c r="E93" s="120"/>
      <c r="F93" s="120"/>
      <c r="G93" s="120"/>
      <c r="H93" s="120"/>
      <c r="I93" s="36"/>
      <c r="J93" s="36"/>
      <c r="K93" s="36"/>
      <c r="L93" s="36"/>
      <c r="M93" s="36"/>
      <c r="N93" s="36"/>
      <c r="O93" s="36"/>
      <c r="P93" s="36"/>
      <c r="Q93" s="36"/>
      <c r="R93" s="36"/>
      <c r="S93" s="36"/>
      <c r="T93" s="36"/>
      <c r="U93" s="36"/>
      <c r="V93" s="36"/>
      <c r="W93" s="36"/>
      <c r="X93" s="36"/>
      <c r="Y93" s="36"/>
      <c r="Z93" s="36"/>
      <c r="AA93" s="36"/>
    </row>
    <row r="94" spans="2:27" outlineLevel="1" x14ac:dyDescent="0.25">
      <c r="B94" s="3" t="s">
        <v>108</v>
      </c>
      <c r="C94" s="121" t="s">
        <v>47</v>
      </c>
      <c r="D94" s="36">
        <v>172251.16266666667</v>
      </c>
      <c r="E94" s="36">
        <v>224475.15654</v>
      </c>
      <c r="F94" s="36">
        <v>255945.15654</v>
      </c>
      <c r="G94" s="36">
        <v>358934.45653999998</v>
      </c>
      <c r="H94" s="36">
        <v>320000</v>
      </c>
      <c r="I94" s="36">
        <v>230000</v>
      </c>
      <c r="J94" s="36">
        <f t="shared" ref="J94:AA94" si="75">I94</f>
        <v>230000</v>
      </c>
      <c r="K94" s="36">
        <f t="shared" si="75"/>
        <v>230000</v>
      </c>
      <c r="L94" s="36">
        <f t="shared" si="75"/>
        <v>230000</v>
      </c>
      <c r="M94" s="36">
        <f t="shared" si="75"/>
        <v>230000</v>
      </c>
      <c r="N94" s="36">
        <f t="shared" si="75"/>
        <v>230000</v>
      </c>
      <c r="O94" s="36">
        <f t="shared" si="75"/>
        <v>230000</v>
      </c>
      <c r="P94" s="36">
        <f t="shared" si="75"/>
        <v>230000</v>
      </c>
      <c r="Q94" s="36">
        <f t="shared" si="75"/>
        <v>230000</v>
      </c>
      <c r="R94" s="36">
        <f t="shared" si="75"/>
        <v>230000</v>
      </c>
      <c r="S94" s="36">
        <f t="shared" si="75"/>
        <v>230000</v>
      </c>
      <c r="T94" s="36">
        <f t="shared" si="75"/>
        <v>230000</v>
      </c>
      <c r="U94" s="36">
        <f t="shared" si="75"/>
        <v>230000</v>
      </c>
      <c r="V94" s="36">
        <f t="shared" si="75"/>
        <v>230000</v>
      </c>
      <c r="W94" s="36">
        <f t="shared" si="75"/>
        <v>230000</v>
      </c>
      <c r="X94" s="36">
        <f t="shared" si="75"/>
        <v>230000</v>
      </c>
      <c r="Y94" s="36">
        <f t="shared" si="75"/>
        <v>230000</v>
      </c>
      <c r="Z94" s="36">
        <f t="shared" si="75"/>
        <v>230000</v>
      </c>
      <c r="AA94" s="36">
        <f t="shared" si="75"/>
        <v>230000</v>
      </c>
    </row>
    <row r="95" spans="2:27" outlineLevel="1" x14ac:dyDescent="0.25">
      <c r="B95" s="122" t="s">
        <v>109</v>
      </c>
      <c r="C95" s="121" t="s">
        <v>47</v>
      </c>
      <c r="D95" s="240">
        <f>D92+D94</f>
        <v>666393.02547702566</v>
      </c>
      <c r="E95" s="240">
        <f>E92+E94</f>
        <v>574523.78901863249</v>
      </c>
      <c r="F95" s="240">
        <f>F92+F94</f>
        <v>549758.57534341887</v>
      </c>
      <c r="G95" s="240">
        <f>G92+G94</f>
        <v>500524.9693605128</v>
      </c>
      <c r="H95" s="240">
        <f>H92+H94</f>
        <v>429594.61538461538</v>
      </c>
      <c r="I95" s="240">
        <f>I93+I94</f>
        <v>230000</v>
      </c>
      <c r="J95" s="240">
        <f t="shared" ref="J95:AA95" si="76">J93+J94</f>
        <v>230000</v>
      </c>
      <c r="K95" s="240">
        <f t="shared" si="76"/>
        <v>230000</v>
      </c>
      <c r="L95" s="240">
        <f t="shared" si="76"/>
        <v>230000</v>
      </c>
      <c r="M95" s="240">
        <f t="shared" si="76"/>
        <v>230000</v>
      </c>
      <c r="N95" s="240">
        <f t="shared" si="76"/>
        <v>230000</v>
      </c>
      <c r="O95" s="240">
        <f t="shared" si="76"/>
        <v>230000</v>
      </c>
      <c r="P95" s="240">
        <f t="shared" si="76"/>
        <v>230000</v>
      </c>
      <c r="Q95" s="240">
        <f t="shared" si="76"/>
        <v>230000</v>
      </c>
      <c r="R95" s="240">
        <f t="shared" si="76"/>
        <v>230000</v>
      </c>
      <c r="S95" s="240">
        <f t="shared" si="76"/>
        <v>230000</v>
      </c>
      <c r="T95" s="240">
        <f t="shared" si="76"/>
        <v>230000</v>
      </c>
      <c r="U95" s="240">
        <f t="shared" si="76"/>
        <v>230000</v>
      </c>
      <c r="V95" s="240">
        <f t="shared" si="76"/>
        <v>230000</v>
      </c>
      <c r="W95" s="240">
        <f t="shared" si="76"/>
        <v>230000</v>
      </c>
      <c r="X95" s="240">
        <f t="shared" si="76"/>
        <v>230000</v>
      </c>
      <c r="Y95" s="240">
        <f t="shared" si="76"/>
        <v>230000</v>
      </c>
      <c r="Z95" s="240">
        <f t="shared" si="76"/>
        <v>230000</v>
      </c>
      <c r="AA95" s="240">
        <f t="shared" si="76"/>
        <v>230000</v>
      </c>
    </row>
    <row r="96" spans="2:27" outlineLevel="1" x14ac:dyDescent="0.25">
      <c r="B96" s="17" t="s">
        <v>110</v>
      </c>
    </row>
    <row r="97" spans="2:29" outlineLevel="1" x14ac:dyDescent="0.25">
      <c r="B97" s="17" t="s">
        <v>111</v>
      </c>
    </row>
    <row r="98" spans="2:29" outlineLevel="1" x14ac:dyDescent="0.25">
      <c r="B98" s="446" t="s">
        <v>112</v>
      </c>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row>
    <row r="99" spans="2:29" outlineLevel="1" x14ac:dyDescent="0.25">
      <c r="B99" s="123" t="s">
        <v>113</v>
      </c>
      <c r="C99" s="119" t="s">
        <v>26</v>
      </c>
      <c r="D99" s="36">
        <f>'Διανεμόμενες ποσότητες αερίου'!T17</f>
        <v>5100</v>
      </c>
      <c r="E99" s="36">
        <f>'Διανεμόμενες ποσότητες αερίου'!Z17</f>
        <v>11202.777777777777</v>
      </c>
      <c r="F99" s="36">
        <f>'Διανεμόμενες ποσότητες αερίου'!AF17</f>
        <v>16065.833333333334</v>
      </c>
      <c r="G99" s="36">
        <f>'Διανεμόμενες ποσότητες αερίου'!AL17</f>
        <v>17470.833333333332</v>
      </c>
      <c r="H99" s="36">
        <f>'Διανεμόμενες ποσότητες αερίου'!AR16</f>
        <v>18452.647058823528</v>
      </c>
      <c r="I99" s="36">
        <f>H99*1.15</f>
        <v>21220.544117647056</v>
      </c>
      <c r="J99" s="36">
        <f t="shared" ref="J99:AA99" si="77">I99*1.15</f>
        <v>24403.625735294114</v>
      </c>
      <c r="K99" s="36">
        <f t="shared" si="77"/>
        <v>28064.169595588228</v>
      </c>
      <c r="L99" s="36">
        <f t="shared" si="77"/>
        <v>32273.795034926461</v>
      </c>
      <c r="M99" s="36">
        <f t="shared" si="77"/>
        <v>37114.864290165424</v>
      </c>
      <c r="N99" s="36">
        <f t="shared" si="77"/>
        <v>42682.093933690237</v>
      </c>
      <c r="O99" s="36">
        <f t="shared" si="77"/>
        <v>49084.408023743767</v>
      </c>
      <c r="P99" s="36">
        <f t="shared" si="77"/>
        <v>56447.069227305328</v>
      </c>
      <c r="Q99" s="36">
        <f t="shared" si="77"/>
        <v>64914.12961140112</v>
      </c>
      <c r="R99" s="36">
        <f t="shared" si="77"/>
        <v>74651.249053111285</v>
      </c>
      <c r="S99" s="36">
        <f t="shared" si="77"/>
        <v>85848.936411077972</v>
      </c>
      <c r="T99" s="36">
        <f t="shared" si="77"/>
        <v>98726.276872739661</v>
      </c>
      <c r="U99" s="36">
        <f t="shared" si="77"/>
        <v>113535.21840365061</v>
      </c>
      <c r="V99" s="36">
        <f t="shared" si="77"/>
        <v>130565.50116419818</v>
      </c>
      <c r="W99" s="36">
        <f t="shared" si="77"/>
        <v>150150.3263388279</v>
      </c>
      <c r="X99" s="36">
        <f t="shared" si="77"/>
        <v>172672.87528965206</v>
      </c>
      <c r="Y99" s="36">
        <f t="shared" si="77"/>
        <v>198573.80658309985</v>
      </c>
      <c r="Z99" s="36">
        <f t="shared" si="77"/>
        <v>228359.8775705648</v>
      </c>
      <c r="AA99" s="36">
        <f t="shared" si="77"/>
        <v>262613.85920614953</v>
      </c>
    </row>
    <row r="100" spans="2:29" outlineLevel="1" x14ac:dyDescent="0.25">
      <c r="B100" s="123" t="s">
        <v>114</v>
      </c>
      <c r="C100" s="121" t="s">
        <v>47</v>
      </c>
      <c r="D100" s="180">
        <f t="shared" ref="D100:AA100" si="78">D99*$D$12</f>
        <v>35700</v>
      </c>
      <c r="E100" s="180">
        <f t="shared" si="78"/>
        <v>78419.444444444438</v>
      </c>
      <c r="F100" s="180">
        <f t="shared" si="78"/>
        <v>112460.83333333334</v>
      </c>
      <c r="G100" s="180">
        <f t="shared" si="78"/>
        <v>122295.83333333333</v>
      </c>
      <c r="H100" s="180">
        <f t="shared" si="78"/>
        <v>129168.5294117647</v>
      </c>
      <c r="I100" s="180">
        <f t="shared" si="78"/>
        <v>148543.8088235294</v>
      </c>
      <c r="J100" s="180">
        <f t="shared" si="78"/>
        <v>170825.38014705881</v>
      </c>
      <c r="K100" s="180">
        <f t="shared" si="78"/>
        <v>196449.18716911759</v>
      </c>
      <c r="L100" s="180">
        <f t="shared" si="78"/>
        <v>225916.56524448522</v>
      </c>
      <c r="M100" s="180">
        <f t="shared" si="78"/>
        <v>259804.05003115797</v>
      </c>
      <c r="N100" s="180">
        <f t="shared" si="78"/>
        <v>298774.65753583168</v>
      </c>
      <c r="O100" s="180">
        <f t="shared" si="78"/>
        <v>343590.85616620636</v>
      </c>
      <c r="P100" s="180">
        <f t="shared" si="78"/>
        <v>395129.48459113727</v>
      </c>
      <c r="Q100" s="180">
        <f t="shared" si="78"/>
        <v>454398.90727980784</v>
      </c>
      <c r="R100" s="180">
        <f t="shared" si="78"/>
        <v>522558.74337177898</v>
      </c>
      <c r="S100" s="180">
        <f t="shared" si="78"/>
        <v>600942.5548775458</v>
      </c>
      <c r="T100" s="180">
        <f t="shared" si="78"/>
        <v>691083.93810917763</v>
      </c>
      <c r="U100" s="180">
        <f t="shared" si="78"/>
        <v>794746.5288255543</v>
      </c>
      <c r="V100" s="180">
        <f t="shared" si="78"/>
        <v>913958.50814938731</v>
      </c>
      <c r="W100" s="180">
        <f t="shared" si="78"/>
        <v>1051052.2843717954</v>
      </c>
      <c r="X100" s="180">
        <f t="shared" si="78"/>
        <v>1208710.1270275644</v>
      </c>
      <c r="Y100" s="180">
        <f t="shared" si="78"/>
        <v>1390016.6460816991</v>
      </c>
      <c r="Z100" s="180">
        <f t="shared" si="78"/>
        <v>1598519.1429939535</v>
      </c>
      <c r="AA100" s="180">
        <f t="shared" si="78"/>
        <v>1838297.0144430466</v>
      </c>
    </row>
    <row r="101" spans="2:29" outlineLevel="1" x14ac:dyDescent="0.25">
      <c r="B101" s="122" t="s">
        <v>115</v>
      </c>
      <c r="C101" s="121" t="s">
        <v>47</v>
      </c>
      <c r="D101" s="240">
        <f>D100</f>
        <v>35700</v>
      </c>
      <c r="E101" s="240">
        <f t="shared" ref="E101:G101" si="79">E100</f>
        <v>78419.444444444438</v>
      </c>
      <c r="F101" s="240">
        <f t="shared" si="79"/>
        <v>112460.83333333334</v>
      </c>
      <c r="G101" s="240">
        <f t="shared" si="79"/>
        <v>122295.83333333333</v>
      </c>
      <c r="H101" s="240">
        <f>H100</f>
        <v>129168.5294117647</v>
      </c>
      <c r="I101" s="240">
        <f t="shared" ref="I101:AA101" si="80">I100</f>
        <v>148543.8088235294</v>
      </c>
      <c r="J101" s="240">
        <f t="shared" si="80"/>
        <v>170825.38014705881</v>
      </c>
      <c r="K101" s="240">
        <f t="shared" si="80"/>
        <v>196449.18716911759</v>
      </c>
      <c r="L101" s="240">
        <f t="shared" si="80"/>
        <v>225916.56524448522</v>
      </c>
      <c r="M101" s="240">
        <f t="shared" si="80"/>
        <v>259804.05003115797</v>
      </c>
      <c r="N101" s="240">
        <f t="shared" si="80"/>
        <v>298774.65753583168</v>
      </c>
      <c r="O101" s="240">
        <f t="shared" si="80"/>
        <v>343590.85616620636</v>
      </c>
      <c r="P101" s="240">
        <f t="shared" si="80"/>
        <v>395129.48459113727</v>
      </c>
      <c r="Q101" s="240">
        <f t="shared" si="80"/>
        <v>454398.90727980784</v>
      </c>
      <c r="R101" s="240">
        <f t="shared" si="80"/>
        <v>522558.74337177898</v>
      </c>
      <c r="S101" s="240">
        <f t="shared" si="80"/>
        <v>600942.5548775458</v>
      </c>
      <c r="T101" s="240">
        <f t="shared" si="80"/>
        <v>691083.93810917763</v>
      </c>
      <c r="U101" s="240">
        <f t="shared" si="80"/>
        <v>794746.5288255543</v>
      </c>
      <c r="V101" s="240">
        <f t="shared" si="80"/>
        <v>913958.50814938731</v>
      </c>
      <c r="W101" s="240">
        <f t="shared" si="80"/>
        <v>1051052.2843717954</v>
      </c>
      <c r="X101" s="240">
        <f t="shared" si="80"/>
        <v>1208710.1270275644</v>
      </c>
      <c r="Y101" s="240">
        <f t="shared" si="80"/>
        <v>1390016.6460816991</v>
      </c>
      <c r="Z101" s="240">
        <f t="shared" si="80"/>
        <v>1598519.1429939535</v>
      </c>
      <c r="AA101" s="240">
        <f t="shared" si="80"/>
        <v>1838297.0144430466</v>
      </c>
    </row>
    <row r="102" spans="2:29" outlineLevel="1" x14ac:dyDescent="0.25">
      <c r="B102" s="124" t="s">
        <v>116</v>
      </c>
    </row>
    <row r="103" spans="2:29" outlineLevel="1" x14ac:dyDescent="0.25">
      <c r="B103" s="3" t="s">
        <v>117</v>
      </c>
      <c r="C103" s="125" t="s">
        <v>47</v>
      </c>
      <c r="D103" s="181">
        <f>D101-D95</f>
        <v>-630693.02547702566</v>
      </c>
      <c r="E103" s="181">
        <f t="shared" ref="E103:AA103" si="81">E101-E95</f>
        <v>-496104.34457418806</v>
      </c>
      <c r="F103" s="181">
        <f t="shared" si="81"/>
        <v>-437297.74201008549</v>
      </c>
      <c r="G103" s="181">
        <f t="shared" si="81"/>
        <v>-378229.13602717948</v>
      </c>
      <c r="H103" s="181">
        <f t="shared" si="81"/>
        <v>-300426.08597285068</v>
      </c>
      <c r="I103" s="181">
        <f t="shared" si="81"/>
        <v>-81456.191176470602</v>
      </c>
      <c r="J103" s="181">
        <f t="shared" si="81"/>
        <v>-59174.619852941192</v>
      </c>
      <c r="K103" s="181">
        <f t="shared" si="81"/>
        <v>-33550.812830882409</v>
      </c>
      <c r="L103" s="181">
        <f t="shared" si="81"/>
        <v>-4083.4347555147833</v>
      </c>
      <c r="M103" s="181">
        <f t="shared" si="81"/>
        <v>29804.050031157967</v>
      </c>
      <c r="N103" s="181">
        <f t="shared" si="81"/>
        <v>68774.657535831677</v>
      </c>
      <c r="O103" s="181">
        <f t="shared" si="81"/>
        <v>113590.85616620636</v>
      </c>
      <c r="P103" s="181">
        <f t="shared" si="81"/>
        <v>165129.48459113727</v>
      </c>
      <c r="Q103" s="181">
        <f t="shared" si="81"/>
        <v>224398.90727980784</v>
      </c>
      <c r="R103" s="181">
        <f t="shared" si="81"/>
        <v>292558.74337177898</v>
      </c>
      <c r="S103" s="181">
        <f t="shared" si="81"/>
        <v>370942.5548775458</v>
      </c>
      <c r="T103" s="181">
        <f t="shared" si="81"/>
        <v>461083.93810917763</v>
      </c>
      <c r="U103" s="181">
        <f t="shared" si="81"/>
        <v>564746.5288255543</v>
      </c>
      <c r="V103" s="181">
        <f t="shared" si="81"/>
        <v>683958.50814938731</v>
      </c>
      <c r="W103" s="181">
        <f t="shared" si="81"/>
        <v>821052.28437179537</v>
      </c>
      <c r="X103" s="181">
        <f t="shared" si="81"/>
        <v>978710.12702756445</v>
      </c>
      <c r="Y103" s="181">
        <f t="shared" si="81"/>
        <v>1160016.6460816991</v>
      </c>
      <c r="Z103" s="181">
        <f t="shared" si="81"/>
        <v>1368519.1429939535</v>
      </c>
      <c r="AA103" s="181">
        <f t="shared" si="81"/>
        <v>1608297.0144430466</v>
      </c>
      <c r="AC103" s="40"/>
    </row>
    <row r="104" spans="2:29" outlineLevel="1" x14ac:dyDescent="0.25">
      <c r="B104" s="3" t="s">
        <v>69</v>
      </c>
      <c r="C104" s="125" t="s">
        <v>47</v>
      </c>
      <c r="D104" s="181">
        <f>D103*1/(1+D83)</f>
        <v>-589267.51889846369</v>
      </c>
      <c r="E104" s="181">
        <f>E103*1/(1+E83)*(1/(1+D83))</f>
        <v>-433073.86861201056</v>
      </c>
      <c r="F104" s="181">
        <f>F103*1/(1+F83)*(1/(1+E83))*(1/(1+D83))</f>
        <v>-356665.13554021023</v>
      </c>
      <c r="G104" s="181">
        <f>G103*1/(1+G83)*(1/(1+F83)*(1/(1+E83))*(1/(1+D83)))</f>
        <v>-288225.81705591769</v>
      </c>
      <c r="H104" s="181">
        <f>H103*1/(1+$H$11)*(1/(1+$G$11)*(1/(1+$F$11)*(1/(1+$E$11))*(1/(1+$D$11))))</f>
        <v>-213899.61978240518</v>
      </c>
      <c r="I104" s="181">
        <f t="shared" ref="I104:AA104" si="82">I103*(1/((1+$H$11)^(I90-$G$18))*(1/(1+$G$11)*(1/(1+$F$11)*(1/(1+$E$11))*((1/(1+$D$11))))))</f>
        <v>-54186.480827131541</v>
      </c>
      <c r="J104" s="181">
        <f t="shared" si="82"/>
        <v>-36778.735931005176</v>
      </c>
      <c r="K104" s="181">
        <f t="shared" si="82"/>
        <v>-19483.135135393983</v>
      </c>
      <c r="L104" s="181">
        <f t="shared" si="82"/>
        <v>-2215.5211079849673</v>
      </c>
      <c r="M104" s="181">
        <f t="shared" si="82"/>
        <v>15108.454099376655</v>
      </c>
      <c r="N104" s="181">
        <f t="shared" si="82"/>
        <v>32573.742342974783</v>
      </c>
      <c r="O104" s="181">
        <f t="shared" si="82"/>
        <v>50266.317241596524</v>
      </c>
      <c r="P104" s="181">
        <f t="shared" si="82"/>
        <v>68273.598654496091</v>
      </c>
      <c r="Q104" s="181">
        <f t="shared" si="82"/>
        <v>86684.885884869072</v>
      </c>
      <c r="R104" s="181">
        <f t="shared" si="82"/>
        <v>105591.80176161534</v>
      </c>
      <c r="S104" s="181">
        <f t="shared" si="82"/>
        <v>125088.74981375231</v>
      </c>
      <c r="T104" s="181">
        <f t="shared" si="82"/>
        <v>145273.38682449405</v>
      </c>
      <c r="U104" s="181">
        <f t="shared" si="82"/>
        <v>166247.11313613559</v>
      </c>
      <c r="V104" s="181">
        <f t="shared" si="82"/>
        <v>188115.58317292781</v>
      </c>
      <c r="W104" s="181">
        <f t="shared" si="82"/>
        <v>210989.2387576183</v>
      </c>
      <c r="X104" s="181">
        <f t="shared" si="82"/>
        <v>234983.86791884052</v>
      </c>
      <c r="Y104" s="181">
        <f t="shared" si="82"/>
        <v>260221.19202170859</v>
      </c>
      <c r="Z104" s="181">
        <f t="shared" si="82"/>
        <v>286829.48420352477</v>
      </c>
      <c r="AA104" s="181">
        <f t="shared" si="82"/>
        <v>314944.22226123122</v>
      </c>
    </row>
    <row r="105" spans="2:29" outlineLevel="1" x14ac:dyDescent="0.25">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2:29" outlineLevel="1" x14ac:dyDescent="0.25">
      <c r="B106" s="42" t="s">
        <v>168</v>
      </c>
      <c r="C106" s="126" t="s">
        <v>47</v>
      </c>
      <c r="D106" s="127">
        <f>SUM(D104:AA104)</f>
        <v>297395.80520463822</v>
      </c>
      <c r="E106" s="40"/>
      <c r="F106" s="40"/>
      <c r="G106" s="40"/>
      <c r="H106" s="40"/>
    </row>
    <row r="107" spans="2:29" ht="4.9000000000000004" customHeight="1" outlineLevel="1" x14ac:dyDescent="0.25"/>
    <row r="108" spans="2:29" outlineLevel="1" x14ac:dyDescent="0.25">
      <c r="B108" s="42" t="s">
        <v>118</v>
      </c>
      <c r="C108" s="42"/>
      <c r="D108" s="241">
        <f>IFERROR(IRR(D103:AA103),0)</f>
        <v>7.9204612157743659E-2</v>
      </c>
    </row>
    <row r="109" spans="2:29" ht="4.9000000000000004" customHeight="1" outlineLevel="1" x14ac:dyDescent="0.25"/>
    <row r="110" spans="2:29" outlineLevel="1" x14ac:dyDescent="0.25">
      <c r="B110" s="42" t="s">
        <v>119</v>
      </c>
    </row>
    <row r="111" spans="2:29" outlineLevel="1" x14ac:dyDescent="0.25">
      <c r="B111" s="3" t="s">
        <v>68</v>
      </c>
      <c r="C111" s="39"/>
      <c r="D111" s="21">
        <v>1</v>
      </c>
      <c r="E111" s="21">
        <v>2</v>
      </c>
      <c r="F111" s="21">
        <v>3</v>
      </c>
      <c r="G111" s="21">
        <v>4</v>
      </c>
      <c r="H111" s="21">
        <v>5</v>
      </c>
      <c r="I111" s="21">
        <v>6</v>
      </c>
      <c r="J111" s="21">
        <v>7</v>
      </c>
      <c r="K111" s="21">
        <v>8</v>
      </c>
      <c r="L111" s="21">
        <v>9</v>
      </c>
      <c r="M111" s="21">
        <v>10</v>
      </c>
      <c r="N111" s="21">
        <v>11</v>
      </c>
      <c r="O111" s="21">
        <v>12</v>
      </c>
      <c r="P111" s="21">
        <v>13</v>
      </c>
      <c r="Q111" s="21">
        <v>14</v>
      </c>
      <c r="R111" s="21">
        <v>15</v>
      </c>
      <c r="S111" s="21">
        <v>16</v>
      </c>
      <c r="T111" s="21">
        <v>17</v>
      </c>
      <c r="U111" s="21">
        <v>18</v>
      </c>
      <c r="V111" s="21">
        <v>19</v>
      </c>
      <c r="W111" s="21">
        <v>20</v>
      </c>
      <c r="X111" s="21">
        <v>21</v>
      </c>
      <c r="Y111" s="21">
        <v>22</v>
      </c>
      <c r="Z111" s="21">
        <v>23</v>
      </c>
      <c r="AA111" s="21">
        <v>24</v>
      </c>
    </row>
    <row r="112" spans="2:29" outlineLevel="1" x14ac:dyDescent="0.25">
      <c r="B112" s="3" t="s">
        <v>117</v>
      </c>
      <c r="C112" s="125" t="s">
        <v>47</v>
      </c>
      <c r="D112" s="180">
        <f>D103</f>
        <v>-630693.02547702566</v>
      </c>
      <c r="E112" s="180">
        <f>E103</f>
        <v>-496104.34457418806</v>
      </c>
      <c r="F112" s="180">
        <f t="shared" ref="F112:AA112" si="83">F103</f>
        <v>-437297.74201008549</v>
      </c>
      <c r="G112" s="180">
        <f t="shared" si="83"/>
        <v>-378229.13602717948</v>
      </c>
      <c r="H112" s="180">
        <f t="shared" si="83"/>
        <v>-300426.08597285068</v>
      </c>
      <c r="I112" s="180">
        <f t="shared" si="83"/>
        <v>-81456.191176470602</v>
      </c>
      <c r="J112" s="180">
        <f t="shared" si="83"/>
        <v>-59174.619852941192</v>
      </c>
      <c r="K112" s="180">
        <f t="shared" si="83"/>
        <v>-33550.812830882409</v>
      </c>
      <c r="L112" s="180">
        <f t="shared" si="83"/>
        <v>-4083.4347555147833</v>
      </c>
      <c r="M112" s="180">
        <f t="shared" si="83"/>
        <v>29804.050031157967</v>
      </c>
      <c r="N112" s="180">
        <f t="shared" si="83"/>
        <v>68774.657535831677</v>
      </c>
      <c r="O112" s="180">
        <f t="shared" si="83"/>
        <v>113590.85616620636</v>
      </c>
      <c r="P112" s="180">
        <f t="shared" si="83"/>
        <v>165129.48459113727</v>
      </c>
      <c r="Q112" s="180">
        <f t="shared" si="83"/>
        <v>224398.90727980784</v>
      </c>
      <c r="R112" s="180">
        <f t="shared" si="83"/>
        <v>292558.74337177898</v>
      </c>
      <c r="S112" s="180">
        <f t="shared" si="83"/>
        <v>370942.5548775458</v>
      </c>
      <c r="T112" s="180">
        <f t="shared" si="83"/>
        <v>461083.93810917763</v>
      </c>
      <c r="U112" s="180">
        <f t="shared" si="83"/>
        <v>564746.5288255543</v>
      </c>
      <c r="V112" s="180">
        <f t="shared" si="83"/>
        <v>683958.50814938731</v>
      </c>
      <c r="W112" s="180">
        <f t="shared" si="83"/>
        <v>821052.28437179537</v>
      </c>
      <c r="X112" s="180">
        <f t="shared" si="83"/>
        <v>978710.12702756445</v>
      </c>
      <c r="Y112" s="180">
        <f t="shared" si="83"/>
        <v>1160016.6460816991</v>
      </c>
      <c r="Z112" s="180">
        <f t="shared" si="83"/>
        <v>1368519.1429939535</v>
      </c>
      <c r="AA112" s="180">
        <f t="shared" si="83"/>
        <v>1608297.0144430466</v>
      </c>
    </row>
    <row r="113" spans="2:27" outlineLevel="1" x14ac:dyDescent="0.25">
      <c r="B113" s="128" t="s">
        <v>120</v>
      </c>
      <c r="C113" s="129" t="s">
        <v>47</v>
      </c>
      <c r="D113" s="242">
        <f>D92*1/(1+D83)</f>
        <v>461685.38055718865</v>
      </c>
      <c r="E113" s="242">
        <f>E92*1/(1+E83)*(1/(1+D83))</f>
        <v>305574.65808928281</v>
      </c>
      <c r="F113" s="242">
        <f>F92*1/(1+F83)*(1/(1+E83))*(1/(1+D83))</f>
        <v>239637.64907488838</v>
      </c>
      <c r="G113" s="242">
        <f>G92*1/(1+G83)*(1/(1+F83)*(1/(1+E83))*(1/(1+D83)))</f>
        <v>107897.66667295057</v>
      </c>
      <c r="H113" s="242">
        <f>H92*1/(1+$H$11)*(1/(1+$G$11)*(1/(1+$F$11)*(1/(1+$E$11))*(1/(1+$D$11))))</f>
        <v>78029.996912740229</v>
      </c>
    </row>
    <row r="114" spans="2:27" outlineLevel="1" x14ac:dyDescent="0.25">
      <c r="B114" s="3" t="s">
        <v>121</v>
      </c>
      <c r="C114" s="125" t="s">
        <v>47</v>
      </c>
      <c r="D114" s="181">
        <f>D112-D113</f>
        <v>-1092378.4060342144</v>
      </c>
      <c r="E114" s="181">
        <f>D114+E112-E113</f>
        <v>-1894057.4086976852</v>
      </c>
      <c r="F114" s="181">
        <f>E114+F112-F113</f>
        <v>-2570992.7997826589</v>
      </c>
      <c r="G114" s="181">
        <f>F114+G112-G113</f>
        <v>-3057119.6024827892</v>
      </c>
      <c r="H114" s="181">
        <f>G114+H112-H113</f>
        <v>-3435575.68536838</v>
      </c>
      <c r="I114" s="181">
        <f t="shared" ref="I114" si="84">H114+I112</f>
        <v>-3517031.8765448509</v>
      </c>
      <c r="J114" s="181">
        <f t="shared" ref="J114" si="85">I114+J112</f>
        <v>-3576206.4963977919</v>
      </c>
      <c r="K114" s="181">
        <f t="shared" ref="K114" si="86">J114+K112</f>
        <v>-3609757.3092286745</v>
      </c>
      <c r="L114" s="181">
        <f t="shared" ref="L114" si="87">K114+L112</f>
        <v>-3613840.7439841894</v>
      </c>
      <c r="M114" s="181">
        <f t="shared" ref="M114" si="88">L114+M112</f>
        <v>-3584036.6939530312</v>
      </c>
      <c r="N114" s="181">
        <f t="shared" ref="N114" si="89">M114+N112</f>
        <v>-3515262.0364171993</v>
      </c>
      <c r="O114" s="181">
        <f t="shared" ref="O114" si="90">N114+O112</f>
        <v>-3401671.180250993</v>
      </c>
      <c r="P114" s="181">
        <f t="shared" ref="P114" si="91">O114+P112</f>
        <v>-3236541.6956598558</v>
      </c>
      <c r="Q114" s="181">
        <f t="shared" ref="Q114" si="92">P114+Q112</f>
        <v>-3012142.7883800482</v>
      </c>
      <c r="R114" s="181">
        <f t="shared" ref="R114" si="93">Q114+R112</f>
        <v>-2719584.0450082691</v>
      </c>
      <c r="S114" s="181">
        <f t="shared" ref="S114" si="94">R114+S112</f>
        <v>-2348641.4901307235</v>
      </c>
      <c r="T114" s="181">
        <f t="shared" ref="T114" si="95">S114+T112</f>
        <v>-1887557.5520215458</v>
      </c>
      <c r="U114" s="181">
        <f t="shared" ref="U114" si="96">T114+U112</f>
        <v>-1322811.0231959915</v>
      </c>
      <c r="V114" s="181">
        <f t="shared" ref="V114" si="97">U114+V112</f>
        <v>-638852.51504660421</v>
      </c>
      <c r="W114" s="181">
        <f t="shared" ref="W114" si="98">V114+W112</f>
        <v>182199.76932519116</v>
      </c>
      <c r="X114" s="181">
        <f t="shared" ref="X114" si="99">W114+X112</f>
        <v>1160909.8963527556</v>
      </c>
      <c r="Y114" s="181">
        <f t="shared" ref="Y114" si="100">X114+Y112</f>
        <v>2320926.5424344549</v>
      </c>
      <c r="Z114" s="181">
        <f t="shared" ref="Z114" si="101">Y114+Z112</f>
        <v>3689445.6854284084</v>
      </c>
      <c r="AA114" s="181">
        <f t="shared" ref="AA114" si="102">Z114+AA112</f>
        <v>5297742.6998714553</v>
      </c>
    </row>
    <row r="115" spans="2:27" outlineLevel="1" x14ac:dyDescent="0.25">
      <c r="B115" s="130" t="s">
        <v>122</v>
      </c>
    </row>
    <row r="117" spans="2:27" ht="14.45" customHeight="1" x14ac:dyDescent="0.25">
      <c r="B117" s="445" t="s">
        <v>104</v>
      </c>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row>
    <row r="119" spans="2:27" x14ac:dyDescent="0.25">
      <c r="B119" s="3" t="s">
        <v>70</v>
      </c>
      <c r="C119" s="3" t="s">
        <v>55</v>
      </c>
      <c r="D119" s="41">
        <v>7.0300000000000001E-2</v>
      </c>
      <c r="E119" s="41">
        <v>7.0300000000000001E-2</v>
      </c>
      <c r="F119" s="41">
        <v>7.0300000000000001E-2</v>
      </c>
      <c r="G119" s="41">
        <v>7.0300000000000001E-2</v>
      </c>
      <c r="H119" s="41">
        <v>7.0300000000000001E-2</v>
      </c>
      <c r="I119" s="17" t="s">
        <v>71</v>
      </c>
    </row>
    <row r="120" spans="2:27" x14ac:dyDescent="0.25">
      <c r="B120" s="3" t="s">
        <v>72</v>
      </c>
      <c r="C120" s="243" t="s">
        <v>60</v>
      </c>
      <c r="D120" s="145">
        <v>7.0279999999999996</v>
      </c>
      <c r="E120" s="17"/>
    </row>
    <row r="122" spans="2:27" ht="15.75" x14ac:dyDescent="0.25">
      <c r="B122" s="448" t="s">
        <v>295</v>
      </c>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row>
    <row r="123" spans="2:27" ht="6" customHeight="1" x14ac:dyDescent="0.25">
      <c r="B123" s="116"/>
      <c r="C123" s="116"/>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row>
    <row r="124" spans="2:27" outlineLevel="1" x14ac:dyDescent="0.25">
      <c r="B124" s="118" t="s">
        <v>105</v>
      </c>
      <c r="C124" s="110"/>
    </row>
    <row r="125" spans="2:27" outlineLevel="1" x14ac:dyDescent="0.25">
      <c r="B125" s="3"/>
      <c r="C125" s="27" t="s">
        <v>20</v>
      </c>
      <c r="D125" s="27">
        <f>$C$3</f>
        <v>2023</v>
      </c>
      <c r="E125" s="27">
        <f>$C$3+1</f>
        <v>2024</v>
      </c>
      <c r="F125" s="27">
        <f>$C$3+2</f>
        <v>2025</v>
      </c>
      <c r="G125" s="27">
        <f>$C$3+3</f>
        <v>2026</v>
      </c>
      <c r="H125" s="27">
        <f>$C$3+4</f>
        <v>2027</v>
      </c>
      <c r="I125" s="27">
        <f>H125+1</f>
        <v>2028</v>
      </c>
      <c r="J125" s="27">
        <f t="shared" ref="J125" si="103">I125+1</f>
        <v>2029</v>
      </c>
      <c r="K125" s="27">
        <f t="shared" ref="K125" si="104">J125+1</f>
        <v>2030</v>
      </c>
      <c r="L125" s="27">
        <f t="shared" ref="L125" si="105">K125+1</f>
        <v>2031</v>
      </c>
      <c r="M125" s="27">
        <f t="shared" ref="M125" si="106">L125+1</f>
        <v>2032</v>
      </c>
      <c r="N125" s="27">
        <f t="shared" ref="N125" si="107">M125+1</f>
        <v>2033</v>
      </c>
      <c r="O125" s="27">
        <f t="shared" ref="O125" si="108">N125+1</f>
        <v>2034</v>
      </c>
      <c r="P125" s="27">
        <f t="shared" ref="P125" si="109">O125+1</f>
        <v>2035</v>
      </c>
      <c r="Q125" s="27">
        <f t="shared" ref="Q125" si="110">P125+1</f>
        <v>2036</v>
      </c>
      <c r="R125" s="27">
        <f t="shared" ref="R125" si="111">Q125+1</f>
        <v>2037</v>
      </c>
      <c r="S125" s="27">
        <f t="shared" ref="S125" si="112">R125+1</f>
        <v>2038</v>
      </c>
      <c r="T125" s="27">
        <f t="shared" ref="T125" si="113">S125+1</f>
        <v>2039</v>
      </c>
      <c r="U125" s="27">
        <f t="shared" ref="U125" si="114">T125+1</f>
        <v>2040</v>
      </c>
      <c r="V125" s="27">
        <f t="shared" ref="V125" si="115">U125+1</f>
        <v>2041</v>
      </c>
      <c r="W125" s="27">
        <f t="shared" ref="W125" si="116">V125+1</f>
        <v>2042</v>
      </c>
      <c r="X125" s="27">
        <f t="shared" ref="X125" si="117">W125+1</f>
        <v>2043</v>
      </c>
      <c r="Y125" s="27">
        <f t="shared" ref="Y125" si="118">X125+1</f>
        <v>2044</v>
      </c>
      <c r="Z125" s="27">
        <f t="shared" ref="Z125" si="119">Y125+1</f>
        <v>2045</v>
      </c>
      <c r="AA125" s="27">
        <f t="shared" ref="AA125" si="120">Z125+1</f>
        <v>2046</v>
      </c>
    </row>
    <row r="126" spans="2:27" outlineLevel="1" x14ac:dyDescent="0.25">
      <c r="B126" s="3" t="s">
        <v>68</v>
      </c>
      <c r="C126" s="39"/>
      <c r="D126" s="21">
        <v>1</v>
      </c>
      <c r="E126" s="21">
        <v>2</v>
      </c>
      <c r="F126" s="21">
        <v>3</v>
      </c>
      <c r="G126" s="21">
        <v>4</v>
      </c>
      <c r="H126" s="21">
        <v>5</v>
      </c>
      <c r="I126" s="21">
        <v>6</v>
      </c>
      <c r="J126" s="21">
        <v>7</v>
      </c>
      <c r="K126" s="21">
        <v>8</v>
      </c>
      <c r="L126" s="21">
        <v>9</v>
      </c>
      <c r="M126" s="21">
        <v>10</v>
      </c>
      <c r="N126" s="21">
        <v>11</v>
      </c>
      <c r="O126" s="21">
        <v>12</v>
      </c>
      <c r="P126" s="21">
        <v>13</v>
      </c>
      <c r="Q126" s="21">
        <v>14</v>
      </c>
      <c r="R126" s="21">
        <v>15</v>
      </c>
      <c r="S126" s="21">
        <v>16</v>
      </c>
      <c r="T126" s="21">
        <v>17</v>
      </c>
      <c r="U126" s="21">
        <v>18</v>
      </c>
      <c r="V126" s="21">
        <v>19</v>
      </c>
      <c r="W126" s="21">
        <v>20</v>
      </c>
      <c r="X126" s="21">
        <v>21</v>
      </c>
      <c r="Y126" s="21">
        <v>22</v>
      </c>
      <c r="Z126" s="21">
        <v>23</v>
      </c>
      <c r="AA126" s="21">
        <v>24</v>
      </c>
    </row>
    <row r="127" spans="2:27" outlineLevel="1" x14ac:dyDescent="0.25">
      <c r="B127" s="446" t="s">
        <v>106</v>
      </c>
      <c r="C127" s="447"/>
      <c r="D127" s="447"/>
      <c r="E127" s="447"/>
      <c r="F127" s="447"/>
      <c r="G127" s="447"/>
      <c r="H127" s="447"/>
      <c r="I127" s="447"/>
      <c r="J127" s="447"/>
      <c r="K127" s="447"/>
      <c r="L127" s="447"/>
      <c r="M127" s="447"/>
      <c r="N127" s="447"/>
      <c r="O127" s="447"/>
      <c r="P127" s="447"/>
      <c r="Q127" s="447"/>
      <c r="R127" s="447"/>
      <c r="S127" s="447"/>
      <c r="T127" s="447"/>
      <c r="U127" s="447"/>
      <c r="V127" s="447"/>
      <c r="W127" s="447"/>
      <c r="X127" s="447"/>
      <c r="Y127" s="447"/>
      <c r="Z127" s="447"/>
      <c r="AA127" s="447"/>
    </row>
    <row r="128" spans="2:27" outlineLevel="1" x14ac:dyDescent="0.25">
      <c r="B128" s="3" t="s">
        <v>167</v>
      </c>
      <c r="C128" s="119" t="s">
        <v>47</v>
      </c>
      <c r="D128" s="36">
        <f>Επενδύσεις!D15</f>
        <v>4587437.8087853873</v>
      </c>
      <c r="E128" s="36">
        <f>Επενδύσεις!E15</f>
        <v>1336938.1735159818</v>
      </c>
      <c r="F128" s="36">
        <f>Επενδύσεις!F15</f>
        <v>1005601.0045662101</v>
      </c>
      <c r="G128" s="36">
        <f>Επενδύσεις!G15</f>
        <v>446305.29680365295</v>
      </c>
      <c r="H128" s="36">
        <f>Επενδύσεις!H15</f>
        <v>298825.84474885842</v>
      </c>
      <c r="I128" s="120"/>
      <c r="J128" s="120"/>
      <c r="K128" s="120"/>
      <c r="L128" s="120"/>
      <c r="M128" s="120"/>
      <c r="N128" s="120"/>
      <c r="O128" s="120"/>
      <c r="P128" s="120"/>
      <c r="Q128" s="120"/>
      <c r="R128" s="120"/>
      <c r="S128" s="120"/>
      <c r="T128" s="120"/>
      <c r="U128" s="120"/>
      <c r="V128" s="120"/>
      <c r="W128" s="120"/>
      <c r="X128" s="120"/>
      <c r="Y128" s="120"/>
      <c r="Z128" s="120"/>
      <c r="AA128" s="120"/>
    </row>
    <row r="129" spans="2:27" outlineLevel="1" x14ac:dyDescent="0.25">
      <c r="B129" s="3" t="s">
        <v>107</v>
      </c>
      <c r="C129" s="119" t="s">
        <v>47</v>
      </c>
      <c r="D129" s="120"/>
      <c r="E129" s="120"/>
      <c r="F129" s="120"/>
      <c r="G129" s="120"/>
      <c r="H129" s="120"/>
      <c r="I129" s="36"/>
      <c r="J129" s="36"/>
      <c r="K129" s="36"/>
      <c r="L129" s="36"/>
      <c r="M129" s="36"/>
      <c r="N129" s="36"/>
      <c r="O129" s="36"/>
      <c r="P129" s="36"/>
      <c r="Q129" s="36"/>
      <c r="R129" s="36"/>
      <c r="S129" s="36"/>
      <c r="T129" s="36"/>
      <c r="U129" s="36"/>
      <c r="V129" s="36"/>
      <c r="W129" s="36"/>
      <c r="X129" s="36"/>
      <c r="Y129" s="36"/>
      <c r="Z129" s="36"/>
      <c r="AA129" s="36"/>
    </row>
    <row r="130" spans="2:27" outlineLevel="1" x14ac:dyDescent="0.25">
      <c r="B130" s="3" t="s">
        <v>108</v>
      </c>
      <c r="C130" s="121" t="s">
        <v>47</v>
      </c>
      <c r="D130" s="36">
        <v>81231.600000000006</v>
      </c>
      <c r="E130" s="36">
        <v>163493.35868850001</v>
      </c>
      <c r="F130" s="36">
        <v>217900.1586885</v>
      </c>
      <c r="G130" s="36">
        <v>220892.6586885</v>
      </c>
      <c r="H130" s="36">
        <f>G130</f>
        <v>220892.6586885</v>
      </c>
      <c r="I130" s="36">
        <f t="shared" ref="I130:AA130" si="121">H130</f>
        <v>220892.6586885</v>
      </c>
      <c r="J130" s="36">
        <f t="shared" si="121"/>
        <v>220892.6586885</v>
      </c>
      <c r="K130" s="36">
        <f t="shared" si="121"/>
        <v>220892.6586885</v>
      </c>
      <c r="L130" s="36">
        <f t="shared" si="121"/>
        <v>220892.6586885</v>
      </c>
      <c r="M130" s="36">
        <f t="shared" si="121"/>
        <v>220892.6586885</v>
      </c>
      <c r="N130" s="36">
        <f t="shared" si="121"/>
        <v>220892.6586885</v>
      </c>
      <c r="O130" s="36">
        <f t="shared" si="121"/>
        <v>220892.6586885</v>
      </c>
      <c r="P130" s="36">
        <f t="shared" si="121"/>
        <v>220892.6586885</v>
      </c>
      <c r="Q130" s="36">
        <f t="shared" si="121"/>
        <v>220892.6586885</v>
      </c>
      <c r="R130" s="36">
        <f t="shared" si="121"/>
        <v>220892.6586885</v>
      </c>
      <c r="S130" s="36">
        <f t="shared" si="121"/>
        <v>220892.6586885</v>
      </c>
      <c r="T130" s="36">
        <f t="shared" si="121"/>
        <v>220892.6586885</v>
      </c>
      <c r="U130" s="36">
        <f t="shared" si="121"/>
        <v>220892.6586885</v>
      </c>
      <c r="V130" s="36">
        <f t="shared" si="121"/>
        <v>220892.6586885</v>
      </c>
      <c r="W130" s="36">
        <f t="shared" si="121"/>
        <v>220892.6586885</v>
      </c>
      <c r="X130" s="36">
        <f t="shared" si="121"/>
        <v>220892.6586885</v>
      </c>
      <c r="Y130" s="36">
        <f t="shared" si="121"/>
        <v>220892.6586885</v>
      </c>
      <c r="Z130" s="36">
        <f t="shared" si="121"/>
        <v>220892.6586885</v>
      </c>
      <c r="AA130" s="36">
        <f t="shared" si="121"/>
        <v>220892.6586885</v>
      </c>
    </row>
    <row r="131" spans="2:27" outlineLevel="1" x14ac:dyDescent="0.25">
      <c r="B131" s="122" t="s">
        <v>109</v>
      </c>
      <c r="C131" s="121" t="s">
        <v>47</v>
      </c>
      <c r="D131" s="240">
        <f>D128+D130</f>
        <v>4668669.4087853869</v>
      </c>
      <c r="E131" s="240">
        <f>E128+E130</f>
        <v>1500431.5322044818</v>
      </c>
      <c r="F131" s="240">
        <f>F128+F130</f>
        <v>1223501.1632547101</v>
      </c>
      <c r="G131" s="240">
        <f>G128+G130</f>
        <v>667197.95549215295</v>
      </c>
      <c r="H131" s="240">
        <f>H128+H130</f>
        <v>519718.50343735842</v>
      </c>
      <c r="I131" s="240">
        <f>I129+I130</f>
        <v>220892.6586885</v>
      </c>
      <c r="J131" s="240">
        <f t="shared" ref="J131:AA131" si="122">J129+J130</f>
        <v>220892.6586885</v>
      </c>
      <c r="K131" s="240">
        <f t="shared" si="122"/>
        <v>220892.6586885</v>
      </c>
      <c r="L131" s="240">
        <f t="shared" si="122"/>
        <v>220892.6586885</v>
      </c>
      <c r="M131" s="240">
        <f t="shared" si="122"/>
        <v>220892.6586885</v>
      </c>
      <c r="N131" s="240">
        <f t="shared" si="122"/>
        <v>220892.6586885</v>
      </c>
      <c r="O131" s="240">
        <f t="shared" si="122"/>
        <v>220892.6586885</v>
      </c>
      <c r="P131" s="240">
        <f t="shared" si="122"/>
        <v>220892.6586885</v>
      </c>
      <c r="Q131" s="240">
        <f t="shared" si="122"/>
        <v>220892.6586885</v>
      </c>
      <c r="R131" s="240">
        <f t="shared" si="122"/>
        <v>220892.6586885</v>
      </c>
      <c r="S131" s="240">
        <f t="shared" si="122"/>
        <v>220892.6586885</v>
      </c>
      <c r="T131" s="240">
        <f t="shared" si="122"/>
        <v>220892.6586885</v>
      </c>
      <c r="U131" s="240">
        <f t="shared" si="122"/>
        <v>220892.6586885</v>
      </c>
      <c r="V131" s="240">
        <f t="shared" si="122"/>
        <v>220892.6586885</v>
      </c>
      <c r="W131" s="240">
        <f t="shared" si="122"/>
        <v>220892.6586885</v>
      </c>
      <c r="X131" s="240">
        <f t="shared" si="122"/>
        <v>220892.6586885</v>
      </c>
      <c r="Y131" s="240">
        <f t="shared" si="122"/>
        <v>220892.6586885</v>
      </c>
      <c r="Z131" s="240">
        <f t="shared" si="122"/>
        <v>220892.6586885</v>
      </c>
      <c r="AA131" s="240">
        <f t="shared" si="122"/>
        <v>220892.6586885</v>
      </c>
    </row>
    <row r="132" spans="2:27" outlineLevel="1" x14ac:dyDescent="0.25">
      <c r="B132" s="17" t="s">
        <v>110</v>
      </c>
    </row>
    <row r="133" spans="2:27" outlineLevel="1" x14ac:dyDescent="0.25">
      <c r="B133" s="17" t="s">
        <v>111</v>
      </c>
    </row>
    <row r="134" spans="2:27" outlineLevel="1" x14ac:dyDescent="0.25">
      <c r="B134" s="446" t="s">
        <v>112</v>
      </c>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row>
    <row r="135" spans="2:27" outlineLevel="1" x14ac:dyDescent="0.25">
      <c r="B135" s="123" t="s">
        <v>113</v>
      </c>
      <c r="C135" s="119" t="s">
        <v>26</v>
      </c>
      <c r="D135" s="36">
        <f>'Διανεμόμενες ποσότητες αερίου'!T18</f>
        <v>5272</v>
      </c>
      <c r="E135" s="36">
        <f>'Διανεμόμενες ποσότητες αερίου'!Z18</f>
        <v>75624</v>
      </c>
      <c r="F135" s="36">
        <f>'Διανεμόμενες ποσότητες αερίου'!AF18</f>
        <v>132163</v>
      </c>
      <c r="G135" s="36">
        <f>'Διανεμόμενες ποσότητες αερίου'!AL18</f>
        <v>198322.5</v>
      </c>
      <c r="H135" s="36">
        <f>'Διανεμόμενες ποσότητες αερίου'!AR18</f>
        <v>227628.5</v>
      </c>
      <c r="I135" s="36">
        <f>H135*1.01</f>
        <v>229904.785</v>
      </c>
      <c r="J135" s="36">
        <f t="shared" ref="J135:AA135" si="123">I135*1.01</f>
        <v>232203.83285000001</v>
      </c>
      <c r="K135" s="36">
        <f t="shared" si="123"/>
        <v>234525.87117850001</v>
      </c>
      <c r="L135" s="36">
        <f t="shared" si="123"/>
        <v>236871.129890285</v>
      </c>
      <c r="M135" s="36">
        <f t="shared" si="123"/>
        <v>239239.84118918783</v>
      </c>
      <c r="N135" s="36">
        <f t="shared" si="123"/>
        <v>241632.23960107972</v>
      </c>
      <c r="O135" s="36">
        <f t="shared" si="123"/>
        <v>244048.56199709052</v>
      </c>
      <c r="P135" s="36">
        <f t="shared" si="123"/>
        <v>246489.04761706144</v>
      </c>
      <c r="Q135" s="36">
        <f t="shared" si="123"/>
        <v>248953.93809323205</v>
      </c>
      <c r="R135" s="36">
        <f t="shared" si="123"/>
        <v>251443.47747416436</v>
      </c>
      <c r="S135" s="36">
        <f t="shared" si="123"/>
        <v>253957.91224890601</v>
      </c>
      <c r="T135" s="36">
        <f t="shared" si="123"/>
        <v>256497.49137139507</v>
      </c>
      <c r="U135" s="36">
        <f t="shared" si="123"/>
        <v>259062.46628510903</v>
      </c>
      <c r="V135" s="36">
        <f t="shared" si="123"/>
        <v>261653.09094796013</v>
      </c>
      <c r="W135" s="36">
        <f t="shared" si="123"/>
        <v>264269.62185743975</v>
      </c>
      <c r="X135" s="36">
        <f t="shared" si="123"/>
        <v>266912.31807601417</v>
      </c>
      <c r="Y135" s="36">
        <f t="shared" si="123"/>
        <v>269581.4412567743</v>
      </c>
      <c r="Z135" s="36">
        <f t="shared" si="123"/>
        <v>272277.25566934206</v>
      </c>
      <c r="AA135" s="36">
        <f t="shared" si="123"/>
        <v>275000.02822603547</v>
      </c>
    </row>
    <row r="136" spans="2:27" outlineLevel="1" x14ac:dyDescent="0.25">
      <c r="B136" s="123" t="s">
        <v>114</v>
      </c>
      <c r="C136" s="121" t="s">
        <v>47</v>
      </c>
      <c r="D136" s="180">
        <f t="shared" ref="D136:AA136" si="124">D135*$D$12</f>
        <v>36904</v>
      </c>
      <c r="E136" s="180">
        <f t="shared" si="124"/>
        <v>529368</v>
      </c>
      <c r="F136" s="180">
        <f t="shared" si="124"/>
        <v>925141</v>
      </c>
      <c r="G136" s="180">
        <f t="shared" si="124"/>
        <v>1388257.5</v>
      </c>
      <c r="H136" s="180">
        <f t="shared" si="124"/>
        <v>1593399.5</v>
      </c>
      <c r="I136" s="180">
        <f t="shared" si="124"/>
        <v>1609333.4950000001</v>
      </c>
      <c r="J136" s="180">
        <f t="shared" si="124"/>
        <v>1625426.8299500002</v>
      </c>
      <c r="K136" s="180">
        <f t="shared" si="124"/>
        <v>1641681.0982495002</v>
      </c>
      <c r="L136" s="180">
        <f t="shared" si="124"/>
        <v>1658097.909231995</v>
      </c>
      <c r="M136" s="180">
        <f t="shared" si="124"/>
        <v>1674678.8883243147</v>
      </c>
      <c r="N136" s="180">
        <f t="shared" si="124"/>
        <v>1691425.677207558</v>
      </c>
      <c r="O136" s="180">
        <f t="shared" si="124"/>
        <v>1708339.9339796337</v>
      </c>
      <c r="P136" s="180">
        <f t="shared" si="124"/>
        <v>1725423.33331943</v>
      </c>
      <c r="Q136" s="180">
        <f t="shared" si="124"/>
        <v>1742677.5666526244</v>
      </c>
      <c r="R136" s="180">
        <f t="shared" si="124"/>
        <v>1760104.3423191505</v>
      </c>
      <c r="S136" s="180">
        <f t="shared" si="124"/>
        <v>1777705.3857423421</v>
      </c>
      <c r="T136" s="180">
        <f t="shared" si="124"/>
        <v>1795482.4395997655</v>
      </c>
      <c r="U136" s="180">
        <f t="shared" si="124"/>
        <v>1813437.2639957631</v>
      </c>
      <c r="V136" s="180">
        <f t="shared" si="124"/>
        <v>1831571.636635721</v>
      </c>
      <c r="W136" s="180">
        <f t="shared" si="124"/>
        <v>1849887.3530020784</v>
      </c>
      <c r="X136" s="180">
        <f t="shared" si="124"/>
        <v>1868386.2265320993</v>
      </c>
      <c r="Y136" s="180">
        <f t="shared" si="124"/>
        <v>1887070.08879742</v>
      </c>
      <c r="Z136" s="180">
        <f t="shared" si="124"/>
        <v>1905940.7896853944</v>
      </c>
      <c r="AA136" s="180">
        <f t="shared" si="124"/>
        <v>1925000.1975822484</v>
      </c>
    </row>
    <row r="137" spans="2:27" outlineLevel="1" x14ac:dyDescent="0.25">
      <c r="B137" s="122" t="s">
        <v>115</v>
      </c>
      <c r="C137" s="121" t="s">
        <v>47</v>
      </c>
      <c r="D137" s="240">
        <f>D136</f>
        <v>36904</v>
      </c>
      <c r="E137" s="240">
        <f t="shared" ref="E137:G137" si="125">E136</f>
        <v>529368</v>
      </c>
      <c r="F137" s="240">
        <f t="shared" si="125"/>
        <v>925141</v>
      </c>
      <c r="G137" s="240">
        <f t="shared" si="125"/>
        <v>1388257.5</v>
      </c>
      <c r="H137" s="240">
        <f>H136</f>
        <v>1593399.5</v>
      </c>
      <c r="I137" s="240">
        <f t="shared" ref="I137:AA137" si="126">I136</f>
        <v>1609333.4950000001</v>
      </c>
      <c r="J137" s="240">
        <f t="shared" si="126"/>
        <v>1625426.8299500002</v>
      </c>
      <c r="K137" s="240">
        <f t="shared" si="126"/>
        <v>1641681.0982495002</v>
      </c>
      <c r="L137" s="240">
        <f t="shared" si="126"/>
        <v>1658097.909231995</v>
      </c>
      <c r="M137" s="240">
        <f t="shared" si="126"/>
        <v>1674678.8883243147</v>
      </c>
      <c r="N137" s="240">
        <f t="shared" si="126"/>
        <v>1691425.677207558</v>
      </c>
      <c r="O137" s="240">
        <f t="shared" si="126"/>
        <v>1708339.9339796337</v>
      </c>
      <c r="P137" s="240">
        <f t="shared" si="126"/>
        <v>1725423.33331943</v>
      </c>
      <c r="Q137" s="240">
        <f t="shared" si="126"/>
        <v>1742677.5666526244</v>
      </c>
      <c r="R137" s="240">
        <f t="shared" si="126"/>
        <v>1760104.3423191505</v>
      </c>
      <c r="S137" s="240">
        <f t="shared" si="126"/>
        <v>1777705.3857423421</v>
      </c>
      <c r="T137" s="240">
        <f t="shared" si="126"/>
        <v>1795482.4395997655</v>
      </c>
      <c r="U137" s="240">
        <f t="shared" si="126"/>
        <v>1813437.2639957631</v>
      </c>
      <c r="V137" s="240">
        <f t="shared" si="126"/>
        <v>1831571.636635721</v>
      </c>
      <c r="W137" s="240">
        <f t="shared" si="126"/>
        <v>1849887.3530020784</v>
      </c>
      <c r="X137" s="240">
        <f t="shared" si="126"/>
        <v>1868386.2265320993</v>
      </c>
      <c r="Y137" s="240">
        <f t="shared" si="126"/>
        <v>1887070.08879742</v>
      </c>
      <c r="Z137" s="240">
        <f t="shared" si="126"/>
        <v>1905940.7896853944</v>
      </c>
      <c r="AA137" s="240">
        <f t="shared" si="126"/>
        <v>1925000.1975822484</v>
      </c>
    </row>
    <row r="138" spans="2:27" outlineLevel="1" x14ac:dyDescent="0.25">
      <c r="B138" s="124" t="s">
        <v>116</v>
      </c>
    </row>
    <row r="139" spans="2:27" outlineLevel="1" x14ac:dyDescent="0.25">
      <c r="B139" s="3" t="s">
        <v>117</v>
      </c>
      <c r="C139" s="125" t="s">
        <v>47</v>
      </c>
      <c r="D139" s="181">
        <f>D137-D131</f>
        <v>-4631765.4087853869</v>
      </c>
      <c r="E139" s="181">
        <f t="shared" ref="E139:AA139" si="127">E137-E131</f>
        <v>-971063.53220448177</v>
      </c>
      <c r="F139" s="181">
        <f t="shared" si="127"/>
        <v>-298360.16325471015</v>
      </c>
      <c r="G139" s="181">
        <f t="shared" si="127"/>
        <v>721059.54450784705</v>
      </c>
      <c r="H139" s="181">
        <f t="shared" si="127"/>
        <v>1073680.9965626416</v>
      </c>
      <c r="I139" s="181">
        <f t="shared" si="127"/>
        <v>1388440.8363115001</v>
      </c>
      <c r="J139" s="181">
        <f t="shared" si="127"/>
        <v>1404534.1712615001</v>
      </c>
      <c r="K139" s="181">
        <f t="shared" si="127"/>
        <v>1420788.4395610001</v>
      </c>
      <c r="L139" s="181">
        <f t="shared" si="127"/>
        <v>1437205.2505434949</v>
      </c>
      <c r="M139" s="181">
        <f t="shared" si="127"/>
        <v>1453786.2296358147</v>
      </c>
      <c r="N139" s="181">
        <f t="shared" si="127"/>
        <v>1470533.0185190579</v>
      </c>
      <c r="O139" s="181">
        <f t="shared" si="127"/>
        <v>1487447.2752911337</v>
      </c>
      <c r="P139" s="181">
        <f t="shared" si="127"/>
        <v>1504530.6746309299</v>
      </c>
      <c r="Q139" s="181">
        <f t="shared" si="127"/>
        <v>1521784.9079641243</v>
      </c>
      <c r="R139" s="181">
        <f t="shared" si="127"/>
        <v>1539211.6836306504</v>
      </c>
      <c r="S139" s="181">
        <f t="shared" si="127"/>
        <v>1556812.727053842</v>
      </c>
      <c r="T139" s="181">
        <f t="shared" si="127"/>
        <v>1574589.7809112654</v>
      </c>
      <c r="U139" s="181">
        <f t="shared" si="127"/>
        <v>1592544.6053072631</v>
      </c>
      <c r="V139" s="181">
        <f t="shared" si="127"/>
        <v>1610678.9779472209</v>
      </c>
      <c r="W139" s="181">
        <f t="shared" si="127"/>
        <v>1628994.6943135783</v>
      </c>
      <c r="X139" s="181">
        <f t="shared" si="127"/>
        <v>1647493.5678435992</v>
      </c>
      <c r="Y139" s="181">
        <f t="shared" si="127"/>
        <v>1666177.43010892</v>
      </c>
      <c r="Z139" s="181">
        <f t="shared" si="127"/>
        <v>1685048.1309968943</v>
      </c>
      <c r="AA139" s="181">
        <f t="shared" si="127"/>
        <v>1704107.5388937483</v>
      </c>
    </row>
    <row r="140" spans="2:27" outlineLevel="1" x14ac:dyDescent="0.25">
      <c r="B140" s="3" t="s">
        <v>69</v>
      </c>
      <c r="C140" s="125" t="s">
        <v>47</v>
      </c>
      <c r="D140" s="181">
        <f>D139*1/(1+D119)</f>
        <v>-4327539.3896901682</v>
      </c>
      <c r="E140" s="181">
        <f>E139*1/(1+E119)*(1/(1+D119))</f>
        <v>-847689.09032795264</v>
      </c>
      <c r="F140" s="181">
        <f>F139*1/(1+F119)*(1/(1+E119))*(1/(1+D119))</f>
        <v>-243346.02684636362</v>
      </c>
      <c r="G140" s="181">
        <f>G139*1/(1+G119)*(1/(1+F119)*(1/(1+E119))*(1/(1+D119)))</f>
        <v>549476.37970123906</v>
      </c>
      <c r="H140" s="181">
        <f>H139*1/(1+$H$11)*(1/(1+$G$11)*(1/(1+$F$11)*(1/(1+$E$11))*(1/(1+$D$11))))</f>
        <v>764447.45531550539</v>
      </c>
      <c r="I140" s="181">
        <f t="shared" ref="I140:AA140" si="128">I139*(1/((1+$H$11)^(I126-$G$18))*(1/(1+$G$11)*(1/(1+$F$11)*(1/(1+$E$11))*((1/(1+$D$11))))))</f>
        <v>923621.90853495058</v>
      </c>
      <c r="J140" s="181">
        <f t="shared" si="128"/>
        <v>872958.56769804622</v>
      </c>
      <c r="K140" s="181">
        <f t="shared" si="128"/>
        <v>825059.3899559027</v>
      </c>
      <c r="L140" s="181">
        <f t="shared" si="128"/>
        <v>779774.56717917393</v>
      </c>
      <c r="M140" s="181">
        <f t="shared" si="128"/>
        <v>736962.34229228273</v>
      </c>
      <c r="N140" s="181">
        <f t="shared" si="128"/>
        <v>696488.58123532496</v>
      </c>
      <c r="O140" s="181">
        <f t="shared" si="128"/>
        <v>658226.36736297747</v>
      </c>
      <c r="P140" s="181">
        <f t="shared" si="128"/>
        <v>622055.61712655809</v>
      </c>
      <c r="Q140" s="181">
        <f t="shared" si="128"/>
        <v>587862.71594316408</v>
      </c>
      <c r="R140" s="181">
        <f t="shared" si="128"/>
        <v>555540.17321079224</v>
      </c>
      <c r="S140" s="181">
        <f t="shared" si="128"/>
        <v>524986.29548068508</v>
      </c>
      <c r="T140" s="181">
        <f t="shared" si="128"/>
        <v>496104.87684794184</v>
      </c>
      <c r="U140" s="181">
        <f t="shared" si="128"/>
        <v>468804.90566882258</v>
      </c>
      <c r="V140" s="181">
        <f t="shared" si="128"/>
        <v>443000.28675824031</v>
      </c>
      <c r="W140" s="181">
        <f t="shared" si="128"/>
        <v>418609.57826381724</v>
      </c>
      <c r="X140" s="181">
        <f t="shared" si="128"/>
        <v>395555.7424536554</v>
      </c>
      <c r="Y140" s="181">
        <f t="shared" si="128"/>
        <v>373765.90969374235</v>
      </c>
      <c r="Z140" s="181">
        <f t="shared" si="128"/>
        <v>353171.15492778178</v>
      </c>
      <c r="AA140" s="181">
        <f t="shared" si="128"/>
        <v>333706.28600728407</v>
      </c>
    </row>
    <row r="141" spans="2:27" outlineLevel="1" x14ac:dyDescent="0.25">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outlineLevel="1" x14ac:dyDescent="0.25">
      <c r="B142" s="42" t="s">
        <v>168</v>
      </c>
      <c r="C142" s="126" t="s">
        <v>47</v>
      </c>
      <c r="D142" s="127">
        <f>SUM(D140:AA140)</f>
        <v>6961604.5947934035</v>
      </c>
      <c r="E142" s="40"/>
      <c r="F142" s="40"/>
      <c r="G142" s="40"/>
      <c r="H142" s="40"/>
    </row>
    <row r="143" spans="2:27" ht="4.9000000000000004" customHeight="1" outlineLevel="1" x14ac:dyDescent="0.25"/>
    <row r="144" spans="2:27" outlineLevel="1" x14ac:dyDescent="0.25">
      <c r="B144" s="42" t="s">
        <v>118</v>
      </c>
      <c r="C144" s="42"/>
      <c r="D144" s="241">
        <f>IFERROR(IRR(D139:AA139),0)</f>
        <v>0.16333973351704789</v>
      </c>
    </row>
    <row r="145" spans="2:27" ht="4.9000000000000004" customHeight="1" outlineLevel="1" x14ac:dyDescent="0.25"/>
    <row r="146" spans="2:27" outlineLevel="1" x14ac:dyDescent="0.25">
      <c r="B146" s="42" t="s">
        <v>119</v>
      </c>
    </row>
    <row r="147" spans="2:27" outlineLevel="1" x14ac:dyDescent="0.25">
      <c r="B147" s="3" t="s">
        <v>68</v>
      </c>
      <c r="C147" s="39"/>
      <c r="D147" s="21">
        <v>1</v>
      </c>
      <c r="E147" s="21">
        <v>2</v>
      </c>
      <c r="F147" s="21">
        <v>3</v>
      </c>
      <c r="G147" s="21">
        <v>4</v>
      </c>
      <c r="H147" s="21">
        <v>5</v>
      </c>
      <c r="I147" s="21">
        <v>6</v>
      </c>
      <c r="J147" s="21">
        <v>7</v>
      </c>
      <c r="K147" s="21">
        <v>8</v>
      </c>
      <c r="L147" s="21">
        <v>9</v>
      </c>
      <c r="M147" s="21">
        <v>10</v>
      </c>
      <c r="N147" s="21">
        <v>11</v>
      </c>
      <c r="O147" s="21">
        <v>12</v>
      </c>
      <c r="P147" s="21">
        <v>13</v>
      </c>
      <c r="Q147" s="21">
        <v>14</v>
      </c>
      <c r="R147" s="21">
        <v>15</v>
      </c>
      <c r="S147" s="21">
        <v>16</v>
      </c>
      <c r="T147" s="21">
        <v>17</v>
      </c>
      <c r="U147" s="21">
        <v>18</v>
      </c>
      <c r="V147" s="21">
        <v>19</v>
      </c>
      <c r="W147" s="21">
        <v>20</v>
      </c>
      <c r="X147" s="21">
        <v>21</v>
      </c>
      <c r="Y147" s="21">
        <v>22</v>
      </c>
      <c r="Z147" s="21">
        <v>23</v>
      </c>
      <c r="AA147" s="21">
        <v>24</v>
      </c>
    </row>
    <row r="148" spans="2:27" outlineLevel="1" x14ac:dyDescent="0.25">
      <c r="B148" s="3" t="s">
        <v>117</v>
      </c>
      <c r="C148" s="125" t="s">
        <v>47</v>
      </c>
      <c r="D148" s="180">
        <f>D139</f>
        <v>-4631765.4087853869</v>
      </c>
      <c r="E148" s="180">
        <f>E139</f>
        <v>-971063.53220448177</v>
      </c>
      <c r="F148" s="180">
        <f t="shared" ref="F148:AA148" si="129">F139</f>
        <v>-298360.16325471015</v>
      </c>
      <c r="G148" s="180">
        <f t="shared" si="129"/>
        <v>721059.54450784705</v>
      </c>
      <c r="H148" s="180">
        <f t="shared" si="129"/>
        <v>1073680.9965626416</v>
      </c>
      <c r="I148" s="180">
        <f t="shared" si="129"/>
        <v>1388440.8363115001</v>
      </c>
      <c r="J148" s="180">
        <f t="shared" si="129"/>
        <v>1404534.1712615001</v>
      </c>
      <c r="K148" s="180">
        <f t="shared" si="129"/>
        <v>1420788.4395610001</v>
      </c>
      <c r="L148" s="180">
        <f t="shared" si="129"/>
        <v>1437205.2505434949</v>
      </c>
      <c r="M148" s="180">
        <f t="shared" si="129"/>
        <v>1453786.2296358147</v>
      </c>
      <c r="N148" s="180">
        <f t="shared" si="129"/>
        <v>1470533.0185190579</v>
      </c>
      <c r="O148" s="180">
        <f t="shared" si="129"/>
        <v>1487447.2752911337</v>
      </c>
      <c r="P148" s="180">
        <f t="shared" si="129"/>
        <v>1504530.6746309299</v>
      </c>
      <c r="Q148" s="180">
        <f t="shared" si="129"/>
        <v>1521784.9079641243</v>
      </c>
      <c r="R148" s="180">
        <f t="shared" si="129"/>
        <v>1539211.6836306504</v>
      </c>
      <c r="S148" s="180">
        <f t="shared" si="129"/>
        <v>1556812.727053842</v>
      </c>
      <c r="T148" s="180">
        <f t="shared" si="129"/>
        <v>1574589.7809112654</v>
      </c>
      <c r="U148" s="180">
        <f t="shared" si="129"/>
        <v>1592544.6053072631</v>
      </c>
      <c r="V148" s="180">
        <f t="shared" si="129"/>
        <v>1610678.9779472209</v>
      </c>
      <c r="W148" s="180">
        <f t="shared" si="129"/>
        <v>1628994.6943135783</v>
      </c>
      <c r="X148" s="180">
        <f t="shared" si="129"/>
        <v>1647493.5678435992</v>
      </c>
      <c r="Y148" s="180">
        <f t="shared" si="129"/>
        <v>1666177.43010892</v>
      </c>
      <c r="Z148" s="180">
        <f t="shared" si="129"/>
        <v>1685048.1309968943</v>
      </c>
      <c r="AA148" s="180">
        <f t="shared" si="129"/>
        <v>1704107.5388937483</v>
      </c>
    </row>
    <row r="149" spans="2:27" outlineLevel="1" x14ac:dyDescent="0.25">
      <c r="B149" s="128" t="s">
        <v>120</v>
      </c>
      <c r="C149" s="129" t="s">
        <v>47</v>
      </c>
      <c r="D149" s="242">
        <f>D128*1/(1+D119)</f>
        <v>4286123.338115843</v>
      </c>
      <c r="E149" s="242">
        <f>E128*1/(1+E119)*(1/(1+D119))</f>
        <v>1167079.0494620602</v>
      </c>
      <c r="F149" s="242">
        <f>F128*1/(1+F119)*(1/(1+E119))*(1/(1+D119))</f>
        <v>820179.90064240259</v>
      </c>
      <c r="G149" s="242">
        <f>G128*1/(1+G119)*(1/(1+F119)*(1/(1+E119))*(1/(1+D119)))</f>
        <v>340102.59013566031</v>
      </c>
      <c r="H149" s="242">
        <f>H128*1/(1+$H$11)*(1/(1+$G$11)*(1/(1+$F$11)*(1/(1+$E$11))*(1/(1+$D$11))))</f>
        <v>212760.26802383986</v>
      </c>
    </row>
    <row r="150" spans="2:27" outlineLevel="1" x14ac:dyDescent="0.25">
      <c r="B150" s="3" t="s">
        <v>121</v>
      </c>
      <c r="C150" s="125" t="s">
        <v>47</v>
      </c>
      <c r="D150" s="181">
        <f>D148-D149</f>
        <v>-8917888.746901229</v>
      </c>
      <c r="E150" s="181">
        <f>D150+E148-E149</f>
        <v>-11056031.328567771</v>
      </c>
      <c r="F150" s="181">
        <f>E150+F148-F149</f>
        <v>-12174571.392464884</v>
      </c>
      <c r="G150" s="181">
        <f>F150+G148-G149</f>
        <v>-11793614.438092697</v>
      </c>
      <c r="H150" s="181">
        <f>G150+H148-H149</f>
        <v>-10932693.709553896</v>
      </c>
      <c r="I150" s="181">
        <f t="shared" ref="I150" si="130">H150+I148</f>
        <v>-9544252.873242395</v>
      </c>
      <c r="J150" s="181">
        <f t="shared" ref="J150" si="131">I150+J148</f>
        <v>-8139718.7019808944</v>
      </c>
      <c r="K150" s="181">
        <f t="shared" ref="K150" si="132">J150+K148</f>
        <v>-6718930.2624198943</v>
      </c>
      <c r="L150" s="181">
        <f t="shared" ref="L150" si="133">K150+L148</f>
        <v>-5281725.0118763996</v>
      </c>
      <c r="M150" s="181">
        <f t="shared" ref="M150" si="134">L150+M148</f>
        <v>-3827938.782240585</v>
      </c>
      <c r="N150" s="181">
        <f t="shared" ref="N150" si="135">M150+N148</f>
        <v>-2357405.7637215271</v>
      </c>
      <c r="O150" s="181">
        <f t="shared" ref="O150" si="136">N150+O148</f>
        <v>-869958.48843039339</v>
      </c>
      <c r="P150" s="181">
        <f t="shared" ref="P150" si="137">O150+P148</f>
        <v>634572.18620053655</v>
      </c>
      <c r="Q150" s="181">
        <f t="shared" ref="Q150" si="138">P150+Q148</f>
        <v>2156357.0941646611</v>
      </c>
      <c r="R150" s="181">
        <f t="shared" ref="R150" si="139">Q150+R148</f>
        <v>3695568.7777953115</v>
      </c>
      <c r="S150" s="181">
        <f t="shared" ref="S150" si="140">R150+S148</f>
        <v>5252381.5048491536</v>
      </c>
      <c r="T150" s="181">
        <f t="shared" ref="T150" si="141">S150+T148</f>
        <v>6826971.2857604194</v>
      </c>
      <c r="U150" s="181">
        <f t="shared" ref="U150" si="142">T150+U148</f>
        <v>8419515.8910676818</v>
      </c>
      <c r="V150" s="181">
        <f t="shared" ref="V150" si="143">U150+V148</f>
        <v>10030194.869014902</v>
      </c>
      <c r="W150" s="181">
        <f t="shared" ref="W150" si="144">V150+W148</f>
        <v>11659189.56332848</v>
      </c>
      <c r="X150" s="181">
        <f t="shared" ref="X150" si="145">W150+X148</f>
        <v>13306683.13117208</v>
      </c>
      <c r="Y150" s="181">
        <f t="shared" ref="Y150" si="146">X150+Y148</f>
        <v>14972860.561280999</v>
      </c>
      <c r="Z150" s="181">
        <f t="shared" ref="Z150" si="147">Y150+Z148</f>
        <v>16657908.692277893</v>
      </c>
      <c r="AA150" s="181">
        <f t="shared" ref="AA150" si="148">Z150+AA148</f>
        <v>18362016.231171641</v>
      </c>
    </row>
    <row r="151" spans="2:27" outlineLevel="1" x14ac:dyDescent="0.25">
      <c r="B151" s="130" t="s">
        <v>122</v>
      </c>
    </row>
    <row r="153" spans="2:27" ht="14.45" customHeight="1" x14ac:dyDescent="0.25">
      <c r="B153" s="445" t="s">
        <v>104</v>
      </c>
      <c r="C153" s="445"/>
      <c r="D153" s="445"/>
      <c r="E153" s="445"/>
      <c r="F153" s="445"/>
      <c r="G153" s="445"/>
      <c r="H153" s="445"/>
      <c r="I153" s="445"/>
      <c r="J153" s="445"/>
      <c r="K153" s="445"/>
      <c r="L153" s="445"/>
      <c r="M153" s="445"/>
      <c r="N153" s="445"/>
      <c r="O153" s="445"/>
      <c r="P153" s="445"/>
      <c r="Q153" s="445"/>
      <c r="R153" s="445"/>
      <c r="S153" s="445"/>
      <c r="T153" s="445"/>
      <c r="U153" s="445"/>
      <c r="V153" s="445"/>
      <c r="W153" s="445"/>
      <c r="X153" s="445"/>
      <c r="Y153" s="445"/>
      <c r="Z153" s="445"/>
      <c r="AA153" s="445"/>
    </row>
    <row r="155" spans="2:27" x14ac:dyDescent="0.25">
      <c r="B155" s="3" t="s">
        <v>70</v>
      </c>
      <c r="C155" s="3" t="s">
        <v>55</v>
      </c>
      <c r="D155" s="41">
        <v>7.0300000000000001E-2</v>
      </c>
      <c r="E155" s="41">
        <v>7.0300000000000001E-2</v>
      </c>
      <c r="F155" s="41">
        <v>7.0300000000000001E-2</v>
      </c>
      <c r="G155" s="41">
        <v>7.0300000000000001E-2</v>
      </c>
      <c r="H155" s="41">
        <v>7.0300000000000001E-2</v>
      </c>
      <c r="I155" s="17" t="s">
        <v>71</v>
      </c>
    </row>
    <row r="156" spans="2:27" x14ac:dyDescent="0.25">
      <c r="B156" s="3" t="s">
        <v>72</v>
      </c>
      <c r="C156" s="243" t="s">
        <v>60</v>
      </c>
      <c r="D156" s="145">
        <v>7.0279999999999996</v>
      </c>
      <c r="E156" s="17"/>
    </row>
    <row r="158" spans="2:27" ht="15.75" x14ac:dyDescent="0.25">
      <c r="B158" s="448" t="s">
        <v>296</v>
      </c>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row>
    <row r="159" spans="2:27" ht="6" customHeight="1" x14ac:dyDescent="0.25">
      <c r="B159" s="116"/>
      <c r="C159" s="116"/>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row>
    <row r="160" spans="2:27" outlineLevel="1" x14ac:dyDescent="0.25">
      <c r="B160" s="118" t="s">
        <v>105</v>
      </c>
      <c r="C160" s="110"/>
    </row>
    <row r="161" spans="2:27" outlineLevel="1" x14ac:dyDescent="0.25">
      <c r="B161" s="3"/>
      <c r="C161" s="27" t="s">
        <v>20</v>
      </c>
      <c r="D161" s="27">
        <f>$C$3</f>
        <v>2023</v>
      </c>
      <c r="E161" s="27">
        <f>$C$3+1</f>
        <v>2024</v>
      </c>
      <c r="F161" s="27">
        <f>$C$3+2</f>
        <v>2025</v>
      </c>
      <c r="G161" s="27">
        <f>$C$3+3</f>
        <v>2026</v>
      </c>
      <c r="H161" s="27">
        <f>$C$3+4</f>
        <v>2027</v>
      </c>
      <c r="I161" s="27">
        <f>H161+1</f>
        <v>2028</v>
      </c>
      <c r="J161" s="27">
        <f t="shared" ref="J161" si="149">I161+1</f>
        <v>2029</v>
      </c>
      <c r="K161" s="27">
        <f t="shared" ref="K161" si="150">J161+1</f>
        <v>2030</v>
      </c>
      <c r="L161" s="27">
        <f t="shared" ref="L161" si="151">K161+1</f>
        <v>2031</v>
      </c>
      <c r="M161" s="27">
        <f t="shared" ref="M161" si="152">L161+1</f>
        <v>2032</v>
      </c>
      <c r="N161" s="27">
        <f t="shared" ref="N161" si="153">M161+1</f>
        <v>2033</v>
      </c>
      <c r="O161" s="27">
        <f t="shared" ref="O161" si="154">N161+1</f>
        <v>2034</v>
      </c>
      <c r="P161" s="27">
        <f t="shared" ref="P161" si="155">O161+1</f>
        <v>2035</v>
      </c>
      <c r="Q161" s="27">
        <f t="shared" ref="Q161" si="156">P161+1</f>
        <v>2036</v>
      </c>
      <c r="R161" s="27">
        <f t="shared" ref="R161" si="157">Q161+1</f>
        <v>2037</v>
      </c>
      <c r="S161" s="27">
        <f t="shared" ref="S161" si="158">R161+1</f>
        <v>2038</v>
      </c>
      <c r="T161" s="27">
        <f t="shared" ref="T161" si="159">S161+1</f>
        <v>2039</v>
      </c>
      <c r="U161" s="27">
        <f t="shared" ref="U161" si="160">T161+1</f>
        <v>2040</v>
      </c>
      <c r="V161" s="27">
        <f t="shared" ref="V161" si="161">U161+1</f>
        <v>2041</v>
      </c>
      <c r="W161" s="27">
        <f t="shared" ref="W161" si="162">V161+1</f>
        <v>2042</v>
      </c>
      <c r="X161" s="27">
        <f t="shared" ref="X161" si="163">W161+1</f>
        <v>2043</v>
      </c>
      <c r="Y161" s="27">
        <f t="shared" ref="Y161" si="164">X161+1</f>
        <v>2044</v>
      </c>
      <c r="Z161" s="27">
        <f t="shared" ref="Z161" si="165">Y161+1</f>
        <v>2045</v>
      </c>
      <c r="AA161" s="27">
        <f t="shared" ref="AA161" si="166">Z161+1</f>
        <v>2046</v>
      </c>
    </row>
    <row r="162" spans="2:27" outlineLevel="1" x14ac:dyDescent="0.25">
      <c r="B162" s="3" t="s">
        <v>68</v>
      </c>
      <c r="C162" s="39"/>
      <c r="D162" s="21">
        <v>1</v>
      </c>
      <c r="E162" s="21">
        <v>2</v>
      </c>
      <c r="F162" s="21">
        <v>3</v>
      </c>
      <c r="G162" s="21">
        <v>4</v>
      </c>
      <c r="H162" s="21">
        <v>5</v>
      </c>
      <c r="I162" s="21">
        <v>6</v>
      </c>
      <c r="J162" s="21">
        <v>7</v>
      </c>
      <c r="K162" s="21">
        <v>8</v>
      </c>
      <c r="L162" s="21">
        <v>9</v>
      </c>
      <c r="M162" s="21">
        <v>10</v>
      </c>
      <c r="N162" s="21">
        <v>11</v>
      </c>
      <c r="O162" s="21">
        <v>12</v>
      </c>
      <c r="P162" s="21">
        <v>13</v>
      </c>
      <c r="Q162" s="21">
        <v>14</v>
      </c>
      <c r="R162" s="21">
        <v>15</v>
      </c>
      <c r="S162" s="21">
        <v>16</v>
      </c>
      <c r="T162" s="21">
        <v>17</v>
      </c>
      <c r="U162" s="21">
        <v>18</v>
      </c>
      <c r="V162" s="21">
        <v>19</v>
      </c>
      <c r="W162" s="21">
        <v>20</v>
      </c>
      <c r="X162" s="21">
        <v>21</v>
      </c>
      <c r="Y162" s="21">
        <v>22</v>
      </c>
      <c r="Z162" s="21">
        <v>23</v>
      </c>
      <c r="AA162" s="21">
        <v>24</v>
      </c>
    </row>
    <row r="163" spans="2:27" outlineLevel="1" x14ac:dyDescent="0.25">
      <c r="B163" s="446" t="s">
        <v>106</v>
      </c>
      <c r="C163" s="447"/>
      <c r="D163" s="447"/>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row>
    <row r="164" spans="2:27" outlineLevel="1" x14ac:dyDescent="0.25">
      <c r="B164" s="3" t="s">
        <v>167</v>
      </c>
      <c r="C164" s="119" t="s">
        <v>47</v>
      </c>
      <c r="D164" s="36">
        <f>Επενδύσεις!D16</f>
        <v>3492983.1182857146</v>
      </c>
      <c r="E164" s="36">
        <f>Επενδύσεις!E16</f>
        <v>1270533.2080501132</v>
      </c>
      <c r="F164" s="36">
        <f>Επενδύσεις!F16</f>
        <v>948328.68985739036</v>
      </c>
      <c r="G164" s="36">
        <f>Επενδύσεις!G16</f>
        <v>839695.36985205917</v>
      </c>
      <c r="H164" s="36">
        <f>Επενδύσεις!H16</f>
        <v>497994.19965347194</v>
      </c>
      <c r="I164" s="120"/>
      <c r="J164" s="120"/>
      <c r="K164" s="120"/>
      <c r="L164" s="120"/>
      <c r="M164" s="120"/>
      <c r="N164" s="120"/>
      <c r="O164" s="120"/>
      <c r="P164" s="120"/>
      <c r="Q164" s="120"/>
      <c r="R164" s="120"/>
      <c r="S164" s="120"/>
      <c r="T164" s="120"/>
      <c r="U164" s="120"/>
      <c r="V164" s="120"/>
      <c r="W164" s="120"/>
      <c r="X164" s="120"/>
      <c r="Y164" s="120"/>
      <c r="Z164" s="120"/>
      <c r="AA164" s="120"/>
    </row>
    <row r="165" spans="2:27" outlineLevel="1" x14ac:dyDescent="0.25">
      <c r="B165" s="3" t="s">
        <v>107</v>
      </c>
      <c r="C165" s="119" t="s">
        <v>47</v>
      </c>
      <c r="D165" s="120"/>
      <c r="E165" s="120"/>
      <c r="F165" s="120"/>
      <c r="G165" s="120"/>
      <c r="H165" s="120"/>
      <c r="I165" s="36"/>
      <c r="J165" s="36"/>
      <c r="K165" s="36"/>
      <c r="L165" s="36"/>
      <c r="M165" s="36"/>
      <c r="N165" s="36"/>
      <c r="O165" s="36"/>
      <c r="P165" s="36"/>
      <c r="Q165" s="36"/>
      <c r="R165" s="36"/>
      <c r="S165" s="36"/>
      <c r="T165" s="36"/>
      <c r="U165" s="36"/>
      <c r="V165" s="36"/>
      <c r="W165" s="36"/>
      <c r="X165" s="36"/>
      <c r="Y165" s="36"/>
      <c r="Z165" s="36"/>
      <c r="AA165" s="36"/>
    </row>
    <row r="166" spans="2:27" outlineLevel="1" x14ac:dyDescent="0.25">
      <c r="B166" s="3" t="s">
        <v>108</v>
      </c>
      <c r="C166" s="121" t="s">
        <v>47</v>
      </c>
      <c r="D166" s="36">
        <v>14700</v>
      </c>
      <c r="E166" s="36">
        <v>182274.84150000001</v>
      </c>
      <c r="F166" s="36">
        <v>185267.34150000001</v>
      </c>
      <c r="G166" s="36">
        <v>188259.84150000001</v>
      </c>
      <c r="H166" s="36">
        <f>G166</f>
        <v>188259.84150000001</v>
      </c>
      <c r="I166" s="36">
        <f t="shared" ref="I166:AA166" si="167">H166</f>
        <v>188259.84150000001</v>
      </c>
      <c r="J166" s="36">
        <f t="shared" si="167"/>
        <v>188259.84150000001</v>
      </c>
      <c r="K166" s="36">
        <f t="shared" si="167"/>
        <v>188259.84150000001</v>
      </c>
      <c r="L166" s="36">
        <f t="shared" si="167"/>
        <v>188259.84150000001</v>
      </c>
      <c r="M166" s="36">
        <f t="shared" si="167"/>
        <v>188259.84150000001</v>
      </c>
      <c r="N166" s="36">
        <f t="shared" si="167"/>
        <v>188259.84150000001</v>
      </c>
      <c r="O166" s="36">
        <f t="shared" si="167"/>
        <v>188259.84150000001</v>
      </c>
      <c r="P166" s="36">
        <f t="shared" si="167"/>
        <v>188259.84150000001</v>
      </c>
      <c r="Q166" s="36">
        <f t="shared" si="167"/>
        <v>188259.84150000001</v>
      </c>
      <c r="R166" s="36">
        <f t="shared" si="167"/>
        <v>188259.84150000001</v>
      </c>
      <c r="S166" s="36">
        <f t="shared" si="167"/>
        <v>188259.84150000001</v>
      </c>
      <c r="T166" s="36">
        <f t="shared" si="167"/>
        <v>188259.84150000001</v>
      </c>
      <c r="U166" s="36">
        <f t="shared" si="167"/>
        <v>188259.84150000001</v>
      </c>
      <c r="V166" s="36">
        <f t="shared" si="167"/>
        <v>188259.84150000001</v>
      </c>
      <c r="W166" s="36">
        <f t="shared" si="167"/>
        <v>188259.84150000001</v>
      </c>
      <c r="X166" s="36">
        <f t="shared" si="167"/>
        <v>188259.84150000001</v>
      </c>
      <c r="Y166" s="36">
        <f t="shared" si="167"/>
        <v>188259.84150000001</v>
      </c>
      <c r="Z166" s="36">
        <f t="shared" si="167"/>
        <v>188259.84150000001</v>
      </c>
      <c r="AA166" s="36">
        <f t="shared" si="167"/>
        <v>188259.84150000001</v>
      </c>
    </row>
    <row r="167" spans="2:27" outlineLevel="1" x14ac:dyDescent="0.25">
      <c r="B167" s="122" t="s">
        <v>109</v>
      </c>
      <c r="C167" s="121" t="s">
        <v>47</v>
      </c>
      <c r="D167" s="240">
        <f>D164+D166</f>
        <v>3507683.1182857146</v>
      </c>
      <c r="E167" s="240">
        <f>E164+E166</f>
        <v>1452808.0495501133</v>
      </c>
      <c r="F167" s="240">
        <f>F164+F166</f>
        <v>1133596.0313573903</v>
      </c>
      <c r="G167" s="240">
        <f>G164+G166</f>
        <v>1027955.2113520592</v>
      </c>
      <c r="H167" s="240">
        <f>H164+H166</f>
        <v>686254.04115347192</v>
      </c>
      <c r="I167" s="240">
        <f>I165+I166</f>
        <v>188259.84150000001</v>
      </c>
      <c r="J167" s="240">
        <f t="shared" ref="J167:AA167" si="168">J165+J166</f>
        <v>188259.84150000001</v>
      </c>
      <c r="K167" s="240">
        <f t="shared" si="168"/>
        <v>188259.84150000001</v>
      </c>
      <c r="L167" s="240">
        <f t="shared" si="168"/>
        <v>188259.84150000001</v>
      </c>
      <c r="M167" s="240">
        <f t="shared" si="168"/>
        <v>188259.84150000001</v>
      </c>
      <c r="N167" s="240">
        <f t="shared" si="168"/>
        <v>188259.84150000001</v>
      </c>
      <c r="O167" s="240">
        <f t="shared" si="168"/>
        <v>188259.84150000001</v>
      </c>
      <c r="P167" s="240">
        <f t="shared" si="168"/>
        <v>188259.84150000001</v>
      </c>
      <c r="Q167" s="240">
        <f t="shared" si="168"/>
        <v>188259.84150000001</v>
      </c>
      <c r="R167" s="240">
        <f t="shared" si="168"/>
        <v>188259.84150000001</v>
      </c>
      <c r="S167" s="240">
        <f t="shared" si="168"/>
        <v>188259.84150000001</v>
      </c>
      <c r="T167" s="240">
        <f t="shared" si="168"/>
        <v>188259.84150000001</v>
      </c>
      <c r="U167" s="240">
        <f t="shared" si="168"/>
        <v>188259.84150000001</v>
      </c>
      <c r="V167" s="240">
        <f t="shared" si="168"/>
        <v>188259.84150000001</v>
      </c>
      <c r="W167" s="240">
        <f t="shared" si="168"/>
        <v>188259.84150000001</v>
      </c>
      <c r="X167" s="240">
        <f t="shared" si="168"/>
        <v>188259.84150000001</v>
      </c>
      <c r="Y167" s="240">
        <f t="shared" si="168"/>
        <v>188259.84150000001</v>
      </c>
      <c r="Z167" s="240">
        <f t="shared" si="168"/>
        <v>188259.84150000001</v>
      </c>
      <c r="AA167" s="240">
        <f t="shared" si="168"/>
        <v>188259.84150000001</v>
      </c>
    </row>
    <row r="168" spans="2:27" outlineLevel="1" x14ac:dyDescent="0.25">
      <c r="B168" s="17" t="s">
        <v>110</v>
      </c>
    </row>
    <row r="169" spans="2:27" outlineLevel="1" x14ac:dyDescent="0.25">
      <c r="B169" s="17" t="s">
        <v>111</v>
      </c>
    </row>
    <row r="170" spans="2:27" outlineLevel="1" x14ac:dyDescent="0.25">
      <c r="B170" s="446" t="s">
        <v>112</v>
      </c>
      <c r="C170" s="447"/>
      <c r="D170" s="447"/>
      <c r="E170" s="447"/>
      <c r="F170" s="447"/>
      <c r="G170" s="447"/>
      <c r="H170" s="447"/>
      <c r="I170" s="447"/>
      <c r="J170" s="447"/>
      <c r="K170" s="447"/>
      <c r="L170" s="447"/>
      <c r="M170" s="447"/>
      <c r="N170" s="447"/>
      <c r="O170" s="447"/>
      <c r="P170" s="447"/>
      <c r="Q170" s="447"/>
      <c r="R170" s="447"/>
      <c r="S170" s="447"/>
      <c r="T170" s="447"/>
      <c r="U170" s="447"/>
      <c r="V170" s="447"/>
      <c r="W170" s="447"/>
      <c r="X170" s="447"/>
      <c r="Y170" s="447"/>
      <c r="Z170" s="447"/>
      <c r="AA170" s="447"/>
    </row>
    <row r="171" spans="2:27" outlineLevel="1" x14ac:dyDescent="0.25">
      <c r="B171" s="123" t="s">
        <v>113</v>
      </c>
      <c r="C171" s="119" t="s">
        <v>26</v>
      </c>
      <c r="D171" s="36">
        <f>'Διανεμόμενες ποσότητες αερίου'!T19</f>
        <v>0</v>
      </c>
      <c r="E171" s="36">
        <f>'Διανεμόμενες ποσότητες αερίου'!Z19</f>
        <v>108300</v>
      </c>
      <c r="F171" s="36">
        <f>'Διανεμόμενες ποσότητες αερίου'!AF19</f>
        <v>164805</v>
      </c>
      <c r="G171" s="36">
        <f>'Διανεμόμενες ποσότητες αερίου'!AL19</f>
        <v>198895</v>
      </c>
      <c r="H171" s="36">
        <f>'Διανεμόμενες ποσότητες αερίου'!AR19</f>
        <v>225925</v>
      </c>
      <c r="I171" s="36">
        <f>H171*1.01</f>
        <v>228184.25</v>
      </c>
      <c r="J171" s="36">
        <f t="shared" ref="J171:AA171" si="169">I171*1.01</f>
        <v>230466.0925</v>
      </c>
      <c r="K171" s="36">
        <f t="shared" si="169"/>
        <v>232770.753425</v>
      </c>
      <c r="L171" s="36">
        <f t="shared" si="169"/>
        <v>235098.46095924999</v>
      </c>
      <c r="M171" s="36">
        <f t="shared" si="169"/>
        <v>237449.44556884249</v>
      </c>
      <c r="N171" s="36">
        <f t="shared" si="169"/>
        <v>239823.94002453092</v>
      </c>
      <c r="O171" s="36">
        <f t="shared" si="169"/>
        <v>242222.17942477623</v>
      </c>
      <c r="P171" s="36">
        <f t="shared" si="169"/>
        <v>244644.401219024</v>
      </c>
      <c r="Q171" s="36">
        <f t="shared" si="169"/>
        <v>247090.84523121425</v>
      </c>
      <c r="R171" s="36">
        <f t="shared" si="169"/>
        <v>249561.75368352639</v>
      </c>
      <c r="S171" s="36">
        <f t="shared" si="169"/>
        <v>252057.37122036165</v>
      </c>
      <c r="T171" s="36">
        <f t="shared" si="169"/>
        <v>254577.94493256527</v>
      </c>
      <c r="U171" s="36">
        <f t="shared" si="169"/>
        <v>257123.72438189093</v>
      </c>
      <c r="V171" s="36">
        <f t="shared" si="169"/>
        <v>259694.96162570984</v>
      </c>
      <c r="W171" s="36">
        <f t="shared" si="169"/>
        <v>262291.91124196694</v>
      </c>
      <c r="X171" s="36">
        <f t="shared" si="169"/>
        <v>264914.83035438659</v>
      </c>
      <c r="Y171" s="36">
        <f t="shared" si="169"/>
        <v>267563.97865793045</v>
      </c>
      <c r="Z171" s="36">
        <f t="shared" si="169"/>
        <v>270239.61844450975</v>
      </c>
      <c r="AA171" s="36">
        <f t="shared" si="169"/>
        <v>272942.01462895487</v>
      </c>
    </row>
    <row r="172" spans="2:27" outlineLevel="1" x14ac:dyDescent="0.25">
      <c r="B172" s="123" t="s">
        <v>114</v>
      </c>
      <c r="C172" s="121" t="s">
        <v>47</v>
      </c>
      <c r="D172" s="180">
        <f t="shared" ref="D172:AA172" si="170">D171*$D$12</f>
        <v>0</v>
      </c>
      <c r="E172" s="180">
        <f t="shared" si="170"/>
        <v>758100</v>
      </c>
      <c r="F172" s="180">
        <f t="shared" si="170"/>
        <v>1153635</v>
      </c>
      <c r="G172" s="180">
        <f t="shared" si="170"/>
        <v>1392265</v>
      </c>
      <c r="H172" s="180">
        <f t="shared" si="170"/>
        <v>1581475</v>
      </c>
      <c r="I172" s="180">
        <f t="shared" si="170"/>
        <v>1597289.75</v>
      </c>
      <c r="J172" s="180">
        <f t="shared" si="170"/>
        <v>1613262.6475</v>
      </c>
      <c r="K172" s="180">
        <f t="shared" si="170"/>
        <v>1629395.273975</v>
      </c>
      <c r="L172" s="180">
        <f t="shared" si="170"/>
        <v>1645689.2267147498</v>
      </c>
      <c r="M172" s="180">
        <f t="shared" si="170"/>
        <v>1662146.1189818974</v>
      </c>
      <c r="N172" s="180">
        <f t="shared" si="170"/>
        <v>1678767.5801717164</v>
      </c>
      <c r="O172" s="180">
        <f t="shared" si="170"/>
        <v>1695555.2559734336</v>
      </c>
      <c r="P172" s="180">
        <f t="shared" si="170"/>
        <v>1712510.8085331679</v>
      </c>
      <c r="Q172" s="180">
        <f t="shared" si="170"/>
        <v>1729635.9166184997</v>
      </c>
      <c r="R172" s="180">
        <f t="shared" si="170"/>
        <v>1746932.2757846848</v>
      </c>
      <c r="S172" s="180">
        <f t="shared" si="170"/>
        <v>1764401.5985425315</v>
      </c>
      <c r="T172" s="180">
        <f t="shared" si="170"/>
        <v>1782045.6145279568</v>
      </c>
      <c r="U172" s="180">
        <f t="shared" si="170"/>
        <v>1799866.0706732366</v>
      </c>
      <c r="V172" s="180">
        <f t="shared" si="170"/>
        <v>1817864.7313799688</v>
      </c>
      <c r="W172" s="180">
        <f t="shared" si="170"/>
        <v>1836043.3786937685</v>
      </c>
      <c r="X172" s="180">
        <f t="shared" si="170"/>
        <v>1854403.8124807063</v>
      </c>
      <c r="Y172" s="180">
        <f t="shared" si="170"/>
        <v>1872947.8506055132</v>
      </c>
      <c r="Z172" s="180">
        <f t="shared" si="170"/>
        <v>1891677.3291115682</v>
      </c>
      <c r="AA172" s="180">
        <f t="shared" si="170"/>
        <v>1910594.102402684</v>
      </c>
    </row>
    <row r="173" spans="2:27" outlineLevel="1" x14ac:dyDescent="0.25">
      <c r="B173" s="122" t="s">
        <v>115</v>
      </c>
      <c r="C173" s="121" t="s">
        <v>47</v>
      </c>
      <c r="D173" s="240">
        <f>D172</f>
        <v>0</v>
      </c>
      <c r="E173" s="240">
        <f t="shared" ref="E173:G173" si="171">E172</f>
        <v>758100</v>
      </c>
      <c r="F173" s="240">
        <f t="shared" si="171"/>
        <v>1153635</v>
      </c>
      <c r="G173" s="240">
        <f t="shared" si="171"/>
        <v>1392265</v>
      </c>
      <c r="H173" s="240">
        <f>H172</f>
        <v>1581475</v>
      </c>
      <c r="I173" s="240">
        <f t="shared" ref="I173:AA173" si="172">I172</f>
        <v>1597289.75</v>
      </c>
      <c r="J173" s="240">
        <f t="shared" si="172"/>
        <v>1613262.6475</v>
      </c>
      <c r="K173" s="240">
        <f t="shared" si="172"/>
        <v>1629395.273975</v>
      </c>
      <c r="L173" s="240">
        <f t="shared" si="172"/>
        <v>1645689.2267147498</v>
      </c>
      <c r="M173" s="240">
        <f t="shared" si="172"/>
        <v>1662146.1189818974</v>
      </c>
      <c r="N173" s="240">
        <f t="shared" si="172"/>
        <v>1678767.5801717164</v>
      </c>
      <c r="O173" s="240">
        <f t="shared" si="172"/>
        <v>1695555.2559734336</v>
      </c>
      <c r="P173" s="240">
        <f t="shared" si="172"/>
        <v>1712510.8085331679</v>
      </c>
      <c r="Q173" s="240">
        <f t="shared" si="172"/>
        <v>1729635.9166184997</v>
      </c>
      <c r="R173" s="240">
        <f t="shared" si="172"/>
        <v>1746932.2757846848</v>
      </c>
      <c r="S173" s="240">
        <f t="shared" si="172"/>
        <v>1764401.5985425315</v>
      </c>
      <c r="T173" s="240">
        <f t="shared" si="172"/>
        <v>1782045.6145279568</v>
      </c>
      <c r="U173" s="240">
        <f t="shared" si="172"/>
        <v>1799866.0706732366</v>
      </c>
      <c r="V173" s="240">
        <f t="shared" si="172"/>
        <v>1817864.7313799688</v>
      </c>
      <c r="W173" s="240">
        <f t="shared" si="172"/>
        <v>1836043.3786937685</v>
      </c>
      <c r="X173" s="240">
        <f t="shared" si="172"/>
        <v>1854403.8124807063</v>
      </c>
      <c r="Y173" s="240">
        <f t="shared" si="172"/>
        <v>1872947.8506055132</v>
      </c>
      <c r="Z173" s="240">
        <f t="shared" si="172"/>
        <v>1891677.3291115682</v>
      </c>
      <c r="AA173" s="240">
        <f t="shared" si="172"/>
        <v>1910594.102402684</v>
      </c>
    </row>
    <row r="174" spans="2:27" outlineLevel="1" x14ac:dyDescent="0.25">
      <c r="B174" s="124" t="s">
        <v>116</v>
      </c>
    </row>
    <row r="175" spans="2:27" outlineLevel="1" x14ac:dyDescent="0.25">
      <c r="B175" s="3" t="s">
        <v>117</v>
      </c>
      <c r="C175" s="125" t="s">
        <v>47</v>
      </c>
      <c r="D175" s="181">
        <f>D173-D167</f>
        <v>-3507683.1182857146</v>
      </c>
      <c r="E175" s="181">
        <f t="shared" ref="E175:AA175" si="173">E173-E167</f>
        <v>-694708.04955011327</v>
      </c>
      <c r="F175" s="181">
        <f t="shared" si="173"/>
        <v>20038.96864260966</v>
      </c>
      <c r="G175" s="181">
        <f t="shared" si="173"/>
        <v>364309.78864794085</v>
      </c>
      <c r="H175" s="181">
        <f t="shared" si="173"/>
        <v>895220.95884652808</v>
      </c>
      <c r="I175" s="181">
        <f t="shared" si="173"/>
        <v>1409029.9084999999</v>
      </c>
      <c r="J175" s="181">
        <f t="shared" si="173"/>
        <v>1425002.8059999999</v>
      </c>
      <c r="K175" s="181">
        <f t="shared" si="173"/>
        <v>1441135.4324749999</v>
      </c>
      <c r="L175" s="181">
        <f t="shared" si="173"/>
        <v>1457429.3852147497</v>
      </c>
      <c r="M175" s="181">
        <f t="shared" si="173"/>
        <v>1473886.2774818973</v>
      </c>
      <c r="N175" s="181">
        <f t="shared" si="173"/>
        <v>1490507.7386717163</v>
      </c>
      <c r="O175" s="181">
        <f t="shared" si="173"/>
        <v>1507295.4144734335</v>
      </c>
      <c r="P175" s="181">
        <f t="shared" si="173"/>
        <v>1524250.9670331678</v>
      </c>
      <c r="Q175" s="181">
        <f t="shared" si="173"/>
        <v>1541376.0751184996</v>
      </c>
      <c r="R175" s="181">
        <f t="shared" si="173"/>
        <v>1558672.4342846847</v>
      </c>
      <c r="S175" s="181">
        <f t="shared" si="173"/>
        <v>1576141.7570425314</v>
      </c>
      <c r="T175" s="181">
        <f t="shared" si="173"/>
        <v>1593785.7730279567</v>
      </c>
      <c r="U175" s="181">
        <f t="shared" si="173"/>
        <v>1611606.2291732365</v>
      </c>
      <c r="V175" s="181">
        <f t="shared" si="173"/>
        <v>1629604.8898799687</v>
      </c>
      <c r="W175" s="181">
        <f t="shared" si="173"/>
        <v>1647783.5371937684</v>
      </c>
      <c r="X175" s="181">
        <f t="shared" si="173"/>
        <v>1666143.9709807062</v>
      </c>
      <c r="Y175" s="181">
        <f t="shared" si="173"/>
        <v>1684688.0091055131</v>
      </c>
      <c r="Z175" s="181">
        <f t="shared" si="173"/>
        <v>1703417.4876115681</v>
      </c>
      <c r="AA175" s="181">
        <f t="shared" si="173"/>
        <v>1722334.2609026839</v>
      </c>
    </row>
    <row r="176" spans="2:27" outlineLevel="1" x14ac:dyDescent="0.25">
      <c r="B176" s="3" t="s">
        <v>69</v>
      </c>
      <c r="C176" s="125" t="s">
        <v>47</v>
      </c>
      <c r="D176" s="181">
        <f>D175*1/(1+D155)</f>
        <v>-3277289.6555037978</v>
      </c>
      <c r="E176" s="181">
        <f>E175*1/(1+E155)*(1/(1+D155))</f>
        <v>-606444.80514034466</v>
      </c>
      <c r="F176" s="181">
        <f>F175*1/(1+F155)*(1/(1+E155))*(1/(1+D155))</f>
        <v>16344.016399786395</v>
      </c>
      <c r="G176" s="181">
        <f>G175*1/(1+G155)*(1/(1+F155)*(1/(1+E155))*(1/(1+D155)))</f>
        <v>277618.71440537542</v>
      </c>
      <c r="H176" s="181">
        <f>H175*1/(1+$H$11)*(1/(1+$G$11)*(1/(1+$F$11)*(1/(1+$E$11))*(1/(1+$D$11))))</f>
        <v>637386.13808594889</v>
      </c>
      <c r="I176" s="181">
        <f t="shared" ref="I176:AA176" si="174">I175*(1/((1+$H$11)^(I162-$G$18))*(1/(1+$G$11)*(1/(1+$F$11)*(1/(1+$E$11))*((1/(1+$D$11))))))</f>
        <v>937318.22000345006</v>
      </c>
      <c r="J176" s="181">
        <f t="shared" si="174"/>
        <v>885680.41557448963</v>
      </c>
      <c r="K176" s="181">
        <f t="shared" si="174"/>
        <v>836874.99676520983</v>
      </c>
      <c r="L176" s="181">
        <f t="shared" si="174"/>
        <v>790747.43681897479</v>
      </c>
      <c r="M176" s="181">
        <f t="shared" si="174"/>
        <v>747151.58335047239</v>
      </c>
      <c r="N176" s="181">
        <f t="shared" si="174"/>
        <v>705949.20831713534</v>
      </c>
      <c r="O176" s="181">
        <f t="shared" si="174"/>
        <v>667009.58191444655</v>
      </c>
      <c r="P176" s="181">
        <f t="shared" si="174"/>
        <v>630209.06914122007</v>
      </c>
      <c r="Q176" s="181">
        <f t="shared" si="174"/>
        <v>595430.7478454354</v>
      </c>
      <c r="R176" s="181">
        <f t="shared" si="174"/>
        <v>562564.04712243844</v>
      </c>
      <c r="S176" s="181">
        <f t="shared" si="174"/>
        <v>531504.40499550162</v>
      </c>
      <c r="T176" s="181">
        <f t="shared" si="174"/>
        <v>502152.94436398643</v>
      </c>
      <c r="U176" s="181">
        <f t="shared" si="174"/>
        <v>474416.16625681607</v>
      </c>
      <c r="V176" s="181">
        <f t="shared" si="174"/>
        <v>448205.65947878949</v>
      </c>
      <c r="W176" s="181">
        <f t="shared" si="174"/>
        <v>423437.82578457159</v>
      </c>
      <c r="X176" s="181">
        <f t="shared" si="174"/>
        <v>400033.61976009881</v>
      </c>
      <c r="Y176" s="181">
        <f t="shared" si="174"/>
        <v>377918.30263377109</v>
      </c>
      <c r="Z176" s="181">
        <f t="shared" si="174"/>
        <v>357021.20928026276</v>
      </c>
      <c r="AA176" s="181">
        <f t="shared" si="174"/>
        <v>337275.52771819016</v>
      </c>
    </row>
    <row r="177" spans="2:27" outlineLevel="1" x14ac:dyDescent="0.25">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outlineLevel="1" x14ac:dyDescent="0.25">
      <c r="B178" s="42" t="s">
        <v>168</v>
      </c>
      <c r="C178" s="126" t="s">
        <v>47</v>
      </c>
      <c r="D178" s="127">
        <f>SUM(D176:AA176)</f>
        <v>8258515.3753722282</v>
      </c>
      <c r="E178" s="40"/>
      <c r="F178" s="40"/>
      <c r="G178" s="40"/>
      <c r="H178" s="40"/>
    </row>
    <row r="179" spans="2:27" ht="4.9000000000000004" customHeight="1" outlineLevel="1" x14ac:dyDescent="0.25"/>
    <row r="180" spans="2:27" outlineLevel="1" x14ac:dyDescent="0.25">
      <c r="B180" s="42" t="s">
        <v>118</v>
      </c>
      <c r="C180" s="42"/>
      <c r="D180" s="241">
        <f>IFERROR(IRR(D175:AA175),0)</f>
        <v>0.2010688860978378</v>
      </c>
    </row>
    <row r="181" spans="2:27" ht="4.9000000000000004" customHeight="1" outlineLevel="1" x14ac:dyDescent="0.25"/>
    <row r="182" spans="2:27" outlineLevel="1" x14ac:dyDescent="0.25">
      <c r="B182" s="42" t="s">
        <v>119</v>
      </c>
    </row>
    <row r="183" spans="2:27" outlineLevel="1" x14ac:dyDescent="0.25">
      <c r="B183" s="3" t="s">
        <v>68</v>
      </c>
      <c r="C183" s="39"/>
      <c r="D183" s="21">
        <v>1</v>
      </c>
      <c r="E183" s="21">
        <v>2</v>
      </c>
      <c r="F183" s="21">
        <v>3</v>
      </c>
      <c r="G183" s="21">
        <v>4</v>
      </c>
      <c r="H183" s="21">
        <v>5</v>
      </c>
      <c r="I183" s="21">
        <v>6</v>
      </c>
      <c r="J183" s="21">
        <v>7</v>
      </c>
      <c r="K183" s="21">
        <v>8</v>
      </c>
      <c r="L183" s="21">
        <v>9</v>
      </c>
      <c r="M183" s="21">
        <v>10</v>
      </c>
      <c r="N183" s="21">
        <v>11</v>
      </c>
      <c r="O183" s="21">
        <v>12</v>
      </c>
      <c r="P183" s="21">
        <v>13</v>
      </c>
      <c r="Q183" s="21">
        <v>14</v>
      </c>
      <c r="R183" s="21">
        <v>15</v>
      </c>
      <c r="S183" s="21">
        <v>16</v>
      </c>
      <c r="T183" s="21">
        <v>17</v>
      </c>
      <c r="U183" s="21">
        <v>18</v>
      </c>
      <c r="V183" s="21">
        <v>19</v>
      </c>
      <c r="W183" s="21">
        <v>20</v>
      </c>
      <c r="X183" s="21">
        <v>21</v>
      </c>
      <c r="Y183" s="21">
        <v>22</v>
      </c>
      <c r="Z183" s="21">
        <v>23</v>
      </c>
      <c r="AA183" s="21">
        <v>24</v>
      </c>
    </row>
    <row r="184" spans="2:27" outlineLevel="1" x14ac:dyDescent="0.25">
      <c r="B184" s="3" t="s">
        <v>117</v>
      </c>
      <c r="C184" s="125" t="s">
        <v>47</v>
      </c>
      <c r="D184" s="180">
        <f>D175</f>
        <v>-3507683.1182857146</v>
      </c>
      <c r="E184" s="180">
        <f>E175</f>
        <v>-694708.04955011327</v>
      </c>
      <c r="F184" s="180">
        <f t="shared" ref="F184:AA184" si="175">F175</f>
        <v>20038.96864260966</v>
      </c>
      <c r="G184" s="180">
        <f t="shared" si="175"/>
        <v>364309.78864794085</v>
      </c>
      <c r="H184" s="180">
        <f t="shared" si="175"/>
        <v>895220.95884652808</v>
      </c>
      <c r="I184" s="180">
        <f t="shared" si="175"/>
        <v>1409029.9084999999</v>
      </c>
      <c r="J184" s="180">
        <f t="shared" si="175"/>
        <v>1425002.8059999999</v>
      </c>
      <c r="K184" s="180">
        <f t="shared" si="175"/>
        <v>1441135.4324749999</v>
      </c>
      <c r="L184" s="180">
        <f t="shared" si="175"/>
        <v>1457429.3852147497</v>
      </c>
      <c r="M184" s="180">
        <f t="shared" si="175"/>
        <v>1473886.2774818973</v>
      </c>
      <c r="N184" s="180">
        <f t="shared" si="175"/>
        <v>1490507.7386717163</v>
      </c>
      <c r="O184" s="180">
        <f t="shared" si="175"/>
        <v>1507295.4144734335</v>
      </c>
      <c r="P184" s="180">
        <f t="shared" si="175"/>
        <v>1524250.9670331678</v>
      </c>
      <c r="Q184" s="180">
        <f t="shared" si="175"/>
        <v>1541376.0751184996</v>
      </c>
      <c r="R184" s="180">
        <f t="shared" si="175"/>
        <v>1558672.4342846847</v>
      </c>
      <c r="S184" s="180">
        <f t="shared" si="175"/>
        <v>1576141.7570425314</v>
      </c>
      <c r="T184" s="180">
        <f t="shared" si="175"/>
        <v>1593785.7730279567</v>
      </c>
      <c r="U184" s="180">
        <f t="shared" si="175"/>
        <v>1611606.2291732365</v>
      </c>
      <c r="V184" s="180">
        <f t="shared" si="175"/>
        <v>1629604.8898799687</v>
      </c>
      <c r="W184" s="180">
        <f t="shared" si="175"/>
        <v>1647783.5371937684</v>
      </c>
      <c r="X184" s="180">
        <f t="shared" si="175"/>
        <v>1666143.9709807062</v>
      </c>
      <c r="Y184" s="180">
        <f t="shared" si="175"/>
        <v>1684688.0091055131</v>
      </c>
      <c r="Z184" s="180">
        <f t="shared" si="175"/>
        <v>1703417.4876115681</v>
      </c>
      <c r="AA184" s="180">
        <f t="shared" si="175"/>
        <v>1722334.2609026839</v>
      </c>
    </row>
    <row r="185" spans="2:27" outlineLevel="1" x14ac:dyDescent="0.25">
      <c r="B185" s="128" t="s">
        <v>120</v>
      </c>
      <c r="C185" s="129" t="s">
        <v>47</v>
      </c>
      <c r="D185" s="242">
        <f>D164*1/(1+D155)</f>
        <v>3263555.1885319203</v>
      </c>
      <c r="E185" s="242">
        <f>E164*1/(1+E155)*(1/(1+D155))</f>
        <v>1109110.8909408236</v>
      </c>
      <c r="F185" s="242">
        <f>F164*1/(1+F155)*(1/(1+E155))*(1/(1+D155))</f>
        <v>773467.93319791567</v>
      </c>
      <c r="G185" s="242">
        <f>G164*1/(1+G155)*(1/(1+F155)*(1/(1+E155))*(1/(1+D155)))</f>
        <v>639881.65109598823</v>
      </c>
      <c r="H185" s="242">
        <f>H164*1/(1+$H$11)*(1/(1+$G$11)*(1/(1+$F$11)*(1/(1+$E$11))*(1/(1+$D$11))))</f>
        <v>354565.6483683213</v>
      </c>
    </row>
    <row r="186" spans="2:27" outlineLevel="1" x14ac:dyDescent="0.25">
      <c r="B186" s="3" t="s">
        <v>121</v>
      </c>
      <c r="C186" s="125" t="s">
        <v>47</v>
      </c>
      <c r="D186" s="181">
        <f>D184-D185</f>
        <v>-6771238.306817635</v>
      </c>
      <c r="E186" s="181">
        <f>D186+E184-E185</f>
        <v>-8575057.2473085709</v>
      </c>
      <c r="F186" s="181">
        <f>E186+F184-F185</f>
        <v>-9328486.2118638773</v>
      </c>
      <c r="G186" s="181">
        <f>F186+G184-G185</f>
        <v>-9604058.0743119251</v>
      </c>
      <c r="H186" s="181">
        <f>G186+H184-H185</f>
        <v>-9063402.7638337184</v>
      </c>
      <c r="I186" s="181">
        <f t="shared" ref="I186" si="176">H186+I184</f>
        <v>-7654372.8553337185</v>
      </c>
      <c r="J186" s="181">
        <f t="shared" ref="J186" si="177">I186+J184</f>
        <v>-6229370.0493337186</v>
      </c>
      <c r="K186" s="181">
        <f t="shared" ref="K186" si="178">J186+K184</f>
        <v>-4788234.6168587189</v>
      </c>
      <c r="L186" s="181">
        <f t="shared" ref="L186" si="179">K186+L184</f>
        <v>-3330805.2316439692</v>
      </c>
      <c r="M186" s="181">
        <f t="shared" ref="M186" si="180">L186+M184</f>
        <v>-1856918.9541620719</v>
      </c>
      <c r="N186" s="181">
        <f t="shared" ref="N186" si="181">M186+N184</f>
        <v>-366411.21549035562</v>
      </c>
      <c r="O186" s="181">
        <f t="shared" ref="O186" si="182">N186+O184</f>
        <v>1140884.1989830779</v>
      </c>
      <c r="P186" s="181">
        <f t="shared" ref="P186" si="183">O186+P184</f>
        <v>2665135.1660162457</v>
      </c>
      <c r="Q186" s="181">
        <f t="shared" ref="Q186" si="184">P186+Q184</f>
        <v>4206511.2411347451</v>
      </c>
      <c r="R186" s="181">
        <f t="shared" ref="R186" si="185">Q186+R184</f>
        <v>5765183.6754194293</v>
      </c>
      <c r="S186" s="181">
        <f t="shared" ref="S186" si="186">R186+S184</f>
        <v>7341325.4324619602</v>
      </c>
      <c r="T186" s="181">
        <f t="shared" ref="T186" si="187">S186+T184</f>
        <v>8935111.2054899167</v>
      </c>
      <c r="U186" s="181">
        <f t="shared" ref="U186" si="188">T186+U184</f>
        <v>10546717.434663154</v>
      </c>
      <c r="V186" s="181">
        <f t="shared" ref="V186" si="189">U186+V184</f>
        <v>12176322.324543122</v>
      </c>
      <c r="W186" s="181">
        <f t="shared" ref="W186" si="190">V186+W184</f>
        <v>13824105.86173689</v>
      </c>
      <c r="X186" s="181">
        <f t="shared" ref="X186" si="191">W186+X184</f>
        <v>15490249.832717596</v>
      </c>
      <c r="Y186" s="181">
        <f t="shared" ref="Y186" si="192">X186+Y184</f>
        <v>17174937.841823108</v>
      </c>
      <c r="Z186" s="181">
        <f t="shared" ref="Z186" si="193">Y186+Z184</f>
        <v>18878355.329434678</v>
      </c>
      <c r="AA186" s="181">
        <f t="shared" ref="AA186" si="194">Z186+AA184</f>
        <v>20600689.590337362</v>
      </c>
    </row>
    <row r="187" spans="2:27" outlineLevel="1" x14ac:dyDescent="0.25">
      <c r="B187" s="130" t="s">
        <v>122</v>
      </c>
    </row>
    <row r="189" spans="2:27" ht="14.45" customHeight="1" x14ac:dyDescent="0.25">
      <c r="B189" s="445" t="s">
        <v>104</v>
      </c>
      <c r="C189" s="445"/>
      <c r="D189" s="445"/>
      <c r="E189" s="445"/>
      <c r="F189" s="445"/>
      <c r="G189" s="445"/>
      <c r="H189" s="445"/>
      <c r="I189" s="445"/>
      <c r="J189" s="445"/>
      <c r="K189" s="445"/>
      <c r="L189" s="445"/>
      <c r="M189" s="445"/>
      <c r="N189" s="445"/>
      <c r="O189" s="445"/>
      <c r="P189" s="445"/>
      <c r="Q189" s="445"/>
      <c r="R189" s="445"/>
      <c r="S189" s="445"/>
      <c r="T189" s="445"/>
      <c r="U189" s="445"/>
      <c r="V189" s="445"/>
      <c r="W189" s="445"/>
      <c r="X189" s="445"/>
      <c r="Y189" s="445"/>
      <c r="Z189" s="445"/>
      <c r="AA189" s="445"/>
    </row>
    <row r="191" spans="2:27" x14ac:dyDescent="0.25">
      <c r="B191" s="3" t="s">
        <v>70</v>
      </c>
      <c r="C191" s="3" t="s">
        <v>55</v>
      </c>
      <c r="D191" s="41">
        <v>7.0300000000000001E-2</v>
      </c>
      <c r="E191" s="41">
        <v>7.0300000000000001E-2</v>
      </c>
      <c r="F191" s="41">
        <v>7.0300000000000001E-2</v>
      </c>
      <c r="G191" s="41">
        <v>7.0300000000000001E-2</v>
      </c>
      <c r="H191" s="41">
        <v>7.0300000000000001E-2</v>
      </c>
      <c r="I191" s="17" t="s">
        <v>71</v>
      </c>
    </row>
    <row r="192" spans="2:27" x14ac:dyDescent="0.25">
      <c r="B192" s="3" t="s">
        <v>72</v>
      </c>
      <c r="C192" s="243" t="s">
        <v>60</v>
      </c>
      <c r="D192" s="145">
        <v>7.0279999999999996</v>
      </c>
      <c r="E192" s="17"/>
    </row>
    <row r="194" spans="2:27" ht="15.75" x14ac:dyDescent="0.25">
      <c r="B194" s="448" t="s">
        <v>297</v>
      </c>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row>
    <row r="195" spans="2:27" ht="6" customHeight="1" x14ac:dyDescent="0.25">
      <c r="B195" s="116"/>
      <c r="C195" s="116"/>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row>
    <row r="196" spans="2:27" outlineLevel="1" x14ac:dyDescent="0.25">
      <c r="B196" s="118" t="s">
        <v>105</v>
      </c>
      <c r="C196" s="110"/>
    </row>
    <row r="197" spans="2:27" outlineLevel="1" x14ac:dyDescent="0.25">
      <c r="B197" s="3"/>
      <c r="C197" s="27" t="s">
        <v>20</v>
      </c>
      <c r="D197" s="27">
        <f>$C$3</f>
        <v>2023</v>
      </c>
      <c r="E197" s="27">
        <f>$C$3+1</f>
        <v>2024</v>
      </c>
      <c r="F197" s="27">
        <f>$C$3+2</f>
        <v>2025</v>
      </c>
      <c r="G197" s="27">
        <f>$C$3+3</f>
        <v>2026</v>
      </c>
      <c r="H197" s="27">
        <f>$C$3+4</f>
        <v>2027</v>
      </c>
      <c r="I197" s="27">
        <f>H197+1</f>
        <v>2028</v>
      </c>
      <c r="J197" s="27">
        <f t="shared" ref="J197" si="195">I197+1</f>
        <v>2029</v>
      </c>
      <c r="K197" s="27">
        <f t="shared" ref="K197" si="196">J197+1</f>
        <v>2030</v>
      </c>
      <c r="L197" s="27">
        <f t="shared" ref="L197" si="197">K197+1</f>
        <v>2031</v>
      </c>
      <c r="M197" s="27">
        <f t="shared" ref="M197" si="198">L197+1</f>
        <v>2032</v>
      </c>
      <c r="N197" s="27">
        <f t="shared" ref="N197" si="199">M197+1</f>
        <v>2033</v>
      </c>
      <c r="O197" s="27">
        <f t="shared" ref="O197" si="200">N197+1</f>
        <v>2034</v>
      </c>
      <c r="P197" s="27">
        <f t="shared" ref="P197" si="201">O197+1</f>
        <v>2035</v>
      </c>
      <c r="Q197" s="27">
        <f t="shared" ref="Q197" si="202">P197+1</f>
        <v>2036</v>
      </c>
      <c r="R197" s="27">
        <f t="shared" ref="R197" si="203">Q197+1</f>
        <v>2037</v>
      </c>
      <c r="S197" s="27">
        <f t="shared" ref="S197" si="204">R197+1</f>
        <v>2038</v>
      </c>
      <c r="T197" s="27">
        <f t="shared" ref="T197" si="205">S197+1</f>
        <v>2039</v>
      </c>
      <c r="U197" s="27">
        <f t="shared" ref="U197" si="206">T197+1</f>
        <v>2040</v>
      </c>
      <c r="V197" s="27">
        <f t="shared" ref="V197" si="207">U197+1</f>
        <v>2041</v>
      </c>
      <c r="W197" s="27">
        <f t="shared" ref="W197" si="208">V197+1</f>
        <v>2042</v>
      </c>
      <c r="X197" s="27">
        <f t="shared" ref="X197" si="209">W197+1</f>
        <v>2043</v>
      </c>
      <c r="Y197" s="27">
        <f t="shared" ref="Y197" si="210">X197+1</f>
        <v>2044</v>
      </c>
      <c r="Z197" s="27">
        <f t="shared" ref="Z197" si="211">Y197+1</f>
        <v>2045</v>
      </c>
      <c r="AA197" s="27">
        <f t="shared" ref="AA197" si="212">Z197+1</f>
        <v>2046</v>
      </c>
    </row>
    <row r="198" spans="2:27" outlineLevel="1" x14ac:dyDescent="0.25">
      <c r="B198" s="3" t="s">
        <v>68</v>
      </c>
      <c r="C198" s="39"/>
      <c r="D198" s="21">
        <v>1</v>
      </c>
      <c r="E198" s="21">
        <v>2</v>
      </c>
      <c r="F198" s="21">
        <v>3</v>
      </c>
      <c r="G198" s="21">
        <v>4</v>
      </c>
      <c r="H198" s="21">
        <v>5</v>
      </c>
      <c r="I198" s="21">
        <v>6</v>
      </c>
      <c r="J198" s="21">
        <v>7</v>
      </c>
      <c r="K198" s="21">
        <v>8</v>
      </c>
      <c r="L198" s="21">
        <v>9</v>
      </c>
      <c r="M198" s="21">
        <v>10</v>
      </c>
      <c r="N198" s="21">
        <v>11</v>
      </c>
      <c r="O198" s="21">
        <v>12</v>
      </c>
      <c r="P198" s="21">
        <v>13</v>
      </c>
      <c r="Q198" s="21">
        <v>14</v>
      </c>
      <c r="R198" s="21">
        <v>15</v>
      </c>
      <c r="S198" s="21">
        <v>16</v>
      </c>
      <c r="T198" s="21">
        <v>17</v>
      </c>
      <c r="U198" s="21">
        <v>18</v>
      </c>
      <c r="V198" s="21">
        <v>19</v>
      </c>
      <c r="W198" s="21">
        <v>20</v>
      </c>
      <c r="X198" s="21">
        <v>21</v>
      </c>
      <c r="Y198" s="21">
        <v>22</v>
      </c>
      <c r="Z198" s="21">
        <v>23</v>
      </c>
      <c r="AA198" s="21">
        <v>24</v>
      </c>
    </row>
    <row r="199" spans="2:27" outlineLevel="1" x14ac:dyDescent="0.25">
      <c r="B199" s="446" t="s">
        <v>106</v>
      </c>
      <c r="C199" s="447"/>
      <c r="D199" s="447"/>
      <c r="E199" s="447"/>
      <c r="F199" s="447"/>
      <c r="G199" s="447"/>
      <c r="H199" s="447"/>
      <c r="I199" s="447"/>
      <c r="J199" s="447"/>
      <c r="K199" s="447"/>
      <c r="L199" s="447"/>
      <c r="M199" s="447"/>
      <c r="N199" s="447"/>
      <c r="O199" s="447"/>
      <c r="P199" s="447"/>
      <c r="Q199" s="447"/>
      <c r="R199" s="447"/>
      <c r="S199" s="447"/>
      <c r="T199" s="447"/>
      <c r="U199" s="447"/>
      <c r="V199" s="447"/>
      <c r="W199" s="447"/>
      <c r="X199" s="447"/>
      <c r="Y199" s="447"/>
      <c r="Z199" s="447"/>
      <c r="AA199" s="447"/>
    </row>
    <row r="200" spans="2:27" outlineLevel="1" x14ac:dyDescent="0.25">
      <c r="B200" s="3" t="s">
        <v>167</v>
      </c>
      <c r="C200" s="119" t="s">
        <v>47</v>
      </c>
      <c r="D200" s="36">
        <f>Επενδύσεις!D17</f>
        <v>2224002.3933300097</v>
      </c>
      <c r="E200" s="36">
        <f>Επενδύσεις!E17</f>
        <v>520035.9447983015</v>
      </c>
      <c r="F200" s="36">
        <f>Επενδύσεις!F17</f>
        <v>530169.52229299361</v>
      </c>
      <c r="G200" s="36">
        <f>Επενδύσεις!G17</f>
        <v>203475.73248407643</v>
      </c>
      <c r="H200" s="36">
        <f>Επενδύσεις!H17</f>
        <v>176427.8662420382</v>
      </c>
      <c r="I200" s="120"/>
      <c r="J200" s="120"/>
      <c r="K200" s="120"/>
      <c r="L200" s="120"/>
      <c r="M200" s="120"/>
      <c r="N200" s="120"/>
      <c r="O200" s="120"/>
      <c r="P200" s="120"/>
      <c r="Q200" s="120"/>
      <c r="R200" s="120"/>
      <c r="S200" s="120"/>
      <c r="T200" s="120"/>
      <c r="U200" s="120"/>
      <c r="V200" s="120"/>
      <c r="W200" s="120"/>
      <c r="X200" s="120"/>
      <c r="Y200" s="120"/>
      <c r="Z200" s="120"/>
      <c r="AA200" s="120"/>
    </row>
    <row r="201" spans="2:27" outlineLevel="1" x14ac:dyDescent="0.25">
      <c r="B201" s="3" t="s">
        <v>107</v>
      </c>
      <c r="C201" s="119" t="s">
        <v>47</v>
      </c>
      <c r="D201" s="120"/>
      <c r="E201" s="120"/>
      <c r="F201" s="120"/>
      <c r="G201" s="120"/>
      <c r="H201" s="120"/>
      <c r="I201" s="36"/>
      <c r="J201" s="36"/>
      <c r="K201" s="36"/>
      <c r="L201" s="36"/>
      <c r="M201" s="36"/>
      <c r="N201" s="36"/>
      <c r="O201" s="36"/>
      <c r="P201" s="36"/>
      <c r="Q201" s="36"/>
      <c r="R201" s="36"/>
      <c r="S201" s="36"/>
      <c r="T201" s="36"/>
      <c r="U201" s="36"/>
      <c r="V201" s="36"/>
      <c r="W201" s="36"/>
      <c r="X201" s="36"/>
      <c r="Y201" s="36"/>
      <c r="Z201" s="36"/>
      <c r="AA201" s="36"/>
    </row>
    <row r="202" spans="2:27" outlineLevel="1" x14ac:dyDescent="0.25">
      <c r="B202" s="3" t="s">
        <v>108</v>
      </c>
      <c r="C202" s="121" t="s">
        <v>47</v>
      </c>
      <c r="D202" s="36">
        <v>102928.79999999999</v>
      </c>
      <c r="E202" s="36">
        <v>101366.74554600001</v>
      </c>
      <c r="F202" s="36">
        <v>107246.74554600001</v>
      </c>
      <c r="G202" s="36">
        <v>110239.24554600001</v>
      </c>
      <c r="H202" s="36">
        <f>G202</f>
        <v>110239.24554600001</v>
      </c>
      <c r="I202" s="36">
        <f t="shared" ref="I202:AA202" si="213">H202</f>
        <v>110239.24554600001</v>
      </c>
      <c r="J202" s="36">
        <f t="shared" si="213"/>
        <v>110239.24554600001</v>
      </c>
      <c r="K202" s="36">
        <f t="shared" si="213"/>
        <v>110239.24554600001</v>
      </c>
      <c r="L202" s="36">
        <f t="shared" si="213"/>
        <v>110239.24554600001</v>
      </c>
      <c r="M202" s="36">
        <f t="shared" si="213"/>
        <v>110239.24554600001</v>
      </c>
      <c r="N202" s="36">
        <f t="shared" si="213"/>
        <v>110239.24554600001</v>
      </c>
      <c r="O202" s="36">
        <f t="shared" si="213"/>
        <v>110239.24554600001</v>
      </c>
      <c r="P202" s="36">
        <f t="shared" si="213"/>
        <v>110239.24554600001</v>
      </c>
      <c r="Q202" s="36">
        <f t="shared" si="213"/>
        <v>110239.24554600001</v>
      </c>
      <c r="R202" s="36">
        <f t="shared" si="213"/>
        <v>110239.24554600001</v>
      </c>
      <c r="S202" s="36">
        <f t="shared" si="213"/>
        <v>110239.24554600001</v>
      </c>
      <c r="T202" s="36">
        <f t="shared" si="213"/>
        <v>110239.24554600001</v>
      </c>
      <c r="U202" s="36">
        <f t="shared" si="213"/>
        <v>110239.24554600001</v>
      </c>
      <c r="V202" s="36">
        <f t="shared" si="213"/>
        <v>110239.24554600001</v>
      </c>
      <c r="W202" s="36">
        <f t="shared" si="213"/>
        <v>110239.24554600001</v>
      </c>
      <c r="X202" s="36">
        <f t="shared" si="213"/>
        <v>110239.24554600001</v>
      </c>
      <c r="Y202" s="36">
        <f t="shared" si="213"/>
        <v>110239.24554600001</v>
      </c>
      <c r="Z202" s="36">
        <f t="shared" si="213"/>
        <v>110239.24554600001</v>
      </c>
      <c r="AA202" s="36">
        <f t="shared" si="213"/>
        <v>110239.24554600001</v>
      </c>
    </row>
    <row r="203" spans="2:27" outlineLevel="1" x14ac:dyDescent="0.25">
      <c r="B203" s="122" t="s">
        <v>109</v>
      </c>
      <c r="C203" s="121" t="s">
        <v>47</v>
      </c>
      <c r="D203" s="240">
        <f>D200+D202</f>
        <v>2326931.1933300095</v>
      </c>
      <c r="E203" s="240">
        <f>E200+E202</f>
        <v>621402.69034430152</v>
      </c>
      <c r="F203" s="240">
        <f>F200+F202</f>
        <v>637416.26783899358</v>
      </c>
      <c r="G203" s="240">
        <f>G200+G202</f>
        <v>313714.97803007643</v>
      </c>
      <c r="H203" s="240">
        <f>H200+H202</f>
        <v>286667.11178803822</v>
      </c>
      <c r="I203" s="240">
        <f>I201+I202</f>
        <v>110239.24554600001</v>
      </c>
      <c r="J203" s="240">
        <f t="shared" ref="J203:AA203" si="214">J201+J202</f>
        <v>110239.24554600001</v>
      </c>
      <c r="K203" s="240">
        <f t="shared" si="214"/>
        <v>110239.24554600001</v>
      </c>
      <c r="L203" s="240">
        <f t="shared" si="214"/>
        <v>110239.24554600001</v>
      </c>
      <c r="M203" s="240">
        <f t="shared" si="214"/>
        <v>110239.24554600001</v>
      </c>
      <c r="N203" s="240">
        <f t="shared" si="214"/>
        <v>110239.24554600001</v>
      </c>
      <c r="O203" s="240">
        <f t="shared" si="214"/>
        <v>110239.24554600001</v>
      </c>
      <c r="P203" s="240">
        <f t="shared" si="214"/>
        <v>110239.24554600001</v>
      </c>
      <c r="Q203" s="240">
        <f t="shared" si="214"/>
        <v>110239.24554600001</v>
      </c>
      <c r="R203" s="240">
        <f t="shared" si="214"/>
        <v>110239.24554600001</v>
      </c>
      <c r="S203" s="240">
        <f t="shared" si="214"/>
        <v>110239.24554600001</v>
      </c>
      <c r="T203" s="240">
        <f t="shared" si="214"/>
        <v>110239.24554600001</v>
      </c>
      <c r="U203" s="240">
        <f t="shared" si="214"/>
        <v>110239.24554600001</v>
      </c>
      <c r="V203" s="240">
        <f t="shared" si="214"/>
        <v>110239.24554600001</v>
      </c>
      <c r="W203" s="240">
        <f t="shared" si="214"/>
        <v>110239.24554600001</v>
      </c>
      <c r="X203" s="240">
        <f t="shared" si="214"/>
        <v>110239.24554600001</v>
      </c>
      <c r="Y203" s="240">
        <f t="shared" si="214"/>
        <v>110239.24554600001</v>
      </c>
      <c r="Z203" s="240">
        <f t="shared" si="214"/>
        <v>110239.24554600001</v>
      </c>
      <c r="AA203" s="240">
        <f t="shared" si="214"/>
        <v>110239.24554600001</v>
      </c>
    </row>
    <row r="204" spans="2:27" outlineLevel="1" x14ac:dyDescent="0.25">
      <c r="B204" s="17" t="s">
        <v>110</v>
      </c>
    </row>
    <row r="205" spans="2:27" outlineLevel="1" x14ac:dyDescent="0.25">
      <c r="B205" s="17" t="s">
        <v>111</v>
      </c>
    </row>
    <row r="206" spans="2:27" outlineLevel="1" x14ac:dyDescent="0.25">
      <c r="B206" s="446" t="s">
        <v>112</v>
      </c>
      <c r="C206" s="447"/>
      <c r="D206" s="447"/>
      <c r="E206" s="447"/>
      <c r="F206" s="447"/>
      <c r="G206" s="447"/>
      <c r="H206" s="447"/>
      <c r="I206" s="447"/>
      <c r="J206" s="447"/>
      <c r="K206" s="447"/>
      <c r="L206" s="447"/>
      <c r="M206" s="447"/>
      <c r="N206" s="447"/>
      <c r="O206" s="447"/>
      <c r="P206" s="447"/>
      <c r="Q206" s="447"/>
      <c r="R206" s="447"/>
      <c r="S206" s="447"/>
      <c r="T206" s="447"/>
      <c r="U206" s="447"/>
      <c r="V206" s="447"/>
      <c r="W206" s="447"/>
      <c r="X206" s="447"/>
      <c r="Y206" s="447"/>
      <c r="Z206" s="447"/>
      <c r="AA206" s="447"/>
    </row>
    <row r="207" spans="2:27" outlineLevel="1" x14ac:dyDescent="0.25">
      <c r="B207" s="123" t="s">
        <v>113</v>
      </c>
      <c r="C207" s="119" t="s">
        <v>26</v>
      </c>
      <c r="D207" s="36">
        <f>'Διανεμόμενες ποσότητες αερίου'!T20</f>
        <v>8746</v>
      </c>
      <c r="E207" s="36">
        <f>'Διανεμόμενες ποσότητες αερίου'!Z20</f>
        <v>56201</v>
      </c>
      <c r="F207" s="36">
        <f>'Διανεμόμενες ποσότητες αερίου'!AF20</f>
        <v>100836</v>
      </c>
      <c r="G207" s="36">
        <f>'Διανεμόμενες ποσότητες αερίου'!AL20</f>
        <v>121911</v>
      </c>
      <c r="H207" s="36">
        <f>'Διανεμόμενες ποσότητες αερίου'!AR20</f>
        <v>122461</v>
      </c>
      <c r="I207" s="36">
        <f>H207*1.01</f>
        <v>123685.61</v>
      </c>
      <c r="J207" s="36">
        <f t="shared" ref="J207:AA207" si="215">I207*1.01</f>
        <v>124922.46610000001</v>
      </c>
      <c r="K207" s="36">
        <f t="shared" si="215"/>
        <v>126171.69076100001</v>
      </c>
      <c r="L207" s="36">
        <f t="shared" si="215"/>
        <v>127433.40766861</v>
      </c>
      <c r="M207" s="36">
        <f t="shared" si="215"/>
        <v>128707.74174529611</v>
      </c>
      <c r="N207" s="36">
        <f t="shared" si="215"/>
        <v>129994.81916274907</v>
      </c>
      <c r="O207" s="36">
        <f t="shared" si="215"/>
        <v>131294.76735437656</v>
      </c>
      <c r="P207" s="36">
        <f t="shared" si="215"/>
        <v>132607.71502792032</v>
      </c>
      <c r="Q207" s="36">
        <f t="shared" si="215"/>
        <v>133933.79217819951</v>
      </c>
      <c r="R207" s="36">
        <f t="shared" si="215"/>
        <v>135273.1300999815</v>
      </c>
      <c r="S207" s="36">
        <f t="shared" si="215"/>
        <v>136625.86140098132</v>
      </c>
      <c r="T207" s="36">
        <f t="shared" si="215"/>
        <v>137992.12001499115</v>
      </c>
      <c r="U207" s="36">
        <f t="shared" si="215"/>
        <v>139372.04121514107</v>
      </c>
      <c r="V207" s="36">
        <f t="shared" si="215"/>
        <v>140765.76162729249</v>
      </c>
      <c r="W207" s="36">
        <f t="shared" si="215"/>
        <v>142173.41924356541</v>
      </c>
      <c r="X207" s="36">
        <f t="shared" si="215"/>
        <v>143595.15343600107</v>
      </c>
      <c r="Y207" s="36">
        <f t="shared" si="215"/>
        <v>145031.10497036108</v>
      </c>
      <c r="Z207" s="36">
        <f t="shared" si="215"/>
        <v>146481.4160200647</v>
      </c>
      <c r="AA207" s="36">
        <f t="shared" si="215"/>
        <v>147946.23018026535</v>
      </c>
    </row>
    <row r="208" spans="2:27" outlineLevel="1" x14ac:dyDescent="0.25">
      <c r="B208" s="123" t="s">
        <v>114</v>
      </c>
      <c r="C208" s="121" t="s">
        <v>47</v>
      </c>
      <c r="D208" s="180">
        <f t="shared" ref="D208:AA208" si="216">D207*$D$12</f>
        <v>61222</v>
      </c>
      <c r="E208" s="180">
        <f t="shared" si="216"/>
        <v>393407</v>
      </c>
      <c r="F208" s="180">
        <f t="shared" si="216"/>
        <v>705852</v>
      </c>
      <c r="G208" s="180">
        <f t="shared" si="216"/>
        <v>853377</v>
      </c>
      <c r="H208" s="180">
        <f t="shared" si="216"/>
        <v>857227</v>
      </c>
      <c r="I208" s="180">
        <f t="shared" si="216"/>
        <v>865799.27</v>
      </c>
      <c r="J208" s="180">
        <f t="shared" si="216"/>
        <v>874457.26270000008</v>
      </c>
      <c r="K208" s="180">
        <f t="shared" si="216"/>
        <v>883201.83532700001</v>
      </c>
      <c r="L208" s="180">
        <f t="shared" si="216"/>
        <v>892033.85368027003</v>
      </c>
      <c r="M208" s="180">
        <f t="shared" si="216"/>
        <v>900954.1922170727</v>
      </c>
      <c r="N208" s="180">
        <f t="shared" si="216"/>
        <v>909963.73413924349</v>
      </c>
      <c r="O208" s="180">
        <f t="shared" si="216"/>
        <v>919063.37148063583</v>
      </c>
      <c r="P208" s="180">
        <f t="shared" si="216"/>
        <v>928254.00519544224</v>
      </c>
      <c r="Q208" s="180">
        <f t="shared" si="216"/>
        <v>937536.54524739657</v>
      </c>
      <c r="R208" s="180">
        <f t="shared" si="216"/>
        <v>946911.91069987044</v>
      </c>
      <c r="S208" s="180">
        <f t="shared" si="216"/>
        <v>956381.02980686922</v>
      </c>
      <c r="T208" s="180">
        <f t="shared" si="216"/>
        <v>965944.84010493802</v>
      </c>
      <c r="U208" s="180">
        <f t="shared" si="216"/>
        <v>975604.2885059875</v>
      </c>
      <c r="V208" s="180">
        <f t="shared" si="216"/>
        <v>985360.33139104745</v>
      </c>
      <c r="W208" s="180">
        <f t="shared" si="216"/>
        <v>995213.93470495788</v>
      </c>
      <c r="X208" s="180">
        <f t="shared" si="216"/>
        <v>1005166.0740520075</v>
      </c>
      <c r="Y208" s="180">
        <f t="shared" si="216"/>
        <v>1015217.7347925275</v>
      </c>
      <c r="Z208" s="180">
        <f t="shared" si="216"/>
        <v>1025369.9121404529</v>
      </c>
      <c r="AA208" s="180">
        <f t="shared" si="216"/>
        <v>1035623.6112618574</v>
      </c>
    </row>
    <row r="209" spans="2:27" outlineLevel="1" x14ac:dyDescent="0.25">
      <c r="B209" s="122" t="s">
        <v>115</v>
      </c>
      <c r="C209" s="121" t="s">
        <v>47</v>
      </c>
      <c r="D209" s="240">
        <f>D208</f>
        <v>61222</v>
      </c>
      <c r="E209" s="240">
        <f t="shared" ref="E209:G209" si="217">E208</f>
        <v>393407</v>
      </c>
      <c r="F209" s="240">
        <f t="shared" si="217"/>
        <v>705852</v>
      </c>
      <c r="G209" s="240">
        <f t="shared" si="217"/>
        <v>853377</v>
      </c>
      <c r="H209" s="240">
        <f>H208</f>
        <v>857227</v>
      </c>
      <c r="I209" s="240">
        <f t="shared" ref="I209:AA209" si="218">I208</f>
        <v>865799.27</v>
      </c>
      <c r="J209" s="240">
        <f t="shared" si="218"/>
        <v>874457.26270000008</v>
      </c>
      <c r="K209" s="240">
        <f t="shared" si="218"/>
        <v>883201.83532700001</v>
      </c>
      <c r="L209" s="240">
        <f t="shared" si="218"/>
        <v>892033.85368027003</v>
      </c>
      <c r="M209" s="240">
        <f t="shared" si="218"/>
        <v>900954.1922170727</v>
      </c>
      <c r="N209" s="240">
        <f t="shared" si="218"/>
        <v>909963.73413924349</v>
      </c>
      <c r="O209" s="240">
        <f t="shared" si="218"/>
        <v>919063.37148063583</v>
      </c>
      <c r="P209" s="240">
        <f t="shared" si="218"/>
        <v>928254.00519544224</v>
      </c>
      <c r="Q209" s="240">
        <f t="shared" si="218"/>
        <v>937536.54524739657</v>
      </c>
      <c r="R209" s="240">
        <f t="shared" si="218"/>
        <v>946911.91069987044</v>
      </c>
      <c r="S209" s="240">
        <f t="shared" si="218"/>
        <v>956381.02980686922</v>
      </c>
      <c r="T209" s="240">
        <f t="shared" si="218"/>
        <v>965944.84010493802</v>
      </c>
      <c r="U209" s="240">
        <f t="shared" si="218"/>
        <v>975604.2885059875</v>
      </c>
      <c r="V209" s="240">
        <f t="shared" si="218"/>
        <v>985360.33139104745</v>
      </c>
      <c r="W209" s="240">
        <f t="shared" si="218"/>
        <v>995213.93470495788</v>
      </c>
      <c r="X209" s="240">
        <f t="shared" si="218"/>
        <v>1005166.0740520075</v>
      </c>
      <c r="Y209" s="240">
        <f t="shared" si="218"/>
        <v>1015217.7347925275</v>
      </c>
      <c r="Z209" s="240">
        <f t="shared" si="218"/>
        <v>1025369.9121404529</v>
      </c>
      <c r="AA209" s="240">
        <f t="shared" si="218"/>
        <v>1035623.6112618574</v>
      </c>
    </row>
    <row r="210" spans="2:27" outlineLevel="1" x14ac:dyDescent="0.25">
      <c r="B210" s="124" t="s">
        <v>116</v>
      </c>
    </row>
    <row r="211" spans="2:27" outlineLevel="1" x14ac:dyDescent="0.25">
      <c r="B211" s="3" t="s">
        <v>117</v>
      </c>
      <c r="C211" s="125" t="s">
        <v>47</v>
      </c>
      <c r="D211" s="181">
        <f>D209-D203</f>
        <v>-2265709.1933300095</v>
      </c>
      <c r="E211" s="181">
        <f t="shared" ref="E211:AA211" si="219">E209-E203</f>
        <v>-227995.69034430152</v>
      </c>
      <c r="F211" s="181">
        <f t="shared" si="219"/>
        <v>68435.732161006425</v>
      </c>
      <c r="G211" s="181">
        <f t="shared" si="219"/>
        <v>539662.02196992352</v>
      </c>
      <c r="H211" s="181">
        <f t="shared" si="219"/>
        <v>570559.88821196184</v>
      </c>
      <c r="I211" s="181">
        <f t="shared" si="219"/>
        <v>755560.02445400006</v>
      </c>
      <c r="J211" s="181">
        <f t="shared" si="219"/>
        <v>764218.01715400012</v>
      </c>
      <c r="K211" s="181">
        <f t="shared" si="219"/>
        <v>772962.58978100005</v>
      </c>
      <c r="L211" s="181">
        <f t="shared" si="219"/>
        <v>781794.60813427006</v>
      </c>
      <c r="M211" s="181">
        <f t="shared" si="219"/>
        <v>790714.94667107274</v>
      </c>
      <c r="N211" s="181">
        <f t="shared" si="219"/>
        <v>799724.48859324353</v>
      </c>
      <c r="O211" s="181">
        <f t="shared" si="219"/>
        <v>808824.12593463587</v>
      </c>
      <c r="P211" s="181">
        <f t="shared" si="219"/>
        <v>818014.75964944228</v>
      </c>
      <c r="Q211" s="181">
        <f t="shared" si="219"/>
        <v>827297.29970139661</v>
      </c>
      <c r="R211" s="181">
        <f t="shared" si="219"/>
        <v>836672.66515387048</v>
      </c>
      <c r="S211" s="181">
        <f t="shared" si="219"/>
        <v>846141.78426086926</v>
      </c>
      <c r="T211" s="181">
        <f t="shared" si="219"/>
        <v>855705.59455893806</v>
      </c>
      <c r="U211" s="181">
        <f t="shared" si="219"/>
        <v>865365.04295998754</v>
      </c>
      <c r="V211" s="181">
        <f t="shared" si="219"/>
        <v>875121.08584504749</v>
      </c>
      <c r="W211" s="181">
        <f t="shared" si="219"/>
        <v>884974.68915895792</v>
      </c>
      <c r="X211" s="181">
        <f t="shared" si="219"/>
        <v>894926.82850600756</v>
      </c>
      <c r="Y211" s="181">
        <f t="shared" si="219"/>
        <v>904978.48924652755</v>
      </c>
      <c r="Z211" s="181">
        <f t="shared" si="219"/>
        <v>915130.66659445292</v>
      </c>
      <c r="AA211" s="181">
        <f t="shared" si="219"/>
        <v>925384.36571585748</v>
      </c>
    </row>
    <row r="212" spans="2:27" outlineLevel="1" x14ac:dyDescent="0.25">
      <c r="B212" s="3" t="s">
        <v>69</v>
      </c>
      <c r="C212" s="125" t="s">
        <v>47</v>
      </c>
      <c r="D212" s="181">
        <f>D211*1/(1+D191)</f>
        <v>-2116891.7063720538</v>
      </c>
      <c r="E212" s="181">
        <f>E211*1/(1+E191)*(1/(1+D191))</f>
        <v>-199028.64533271012</v>
      </c>
      <c r="F212" s="181">
        <f>F211*1/(1+F191)*(1/(1+E191))*(1/(1+D191))</f>
        <v>55816.98083964939</v>
      </c>
      <c r="G212" s="181">
        <f>G211*1/(1+G191)*(1/(1+F191)*(1/(1+E191))*(1/(1+D191)))</f>
        <v>411244.17026707431</v>
      </c>
      <c r="H212" s="181">
        <f>H211*1/(1+$H$11)*(1/(1+$G$11)*(1/(1+$F$11)*(1/(1+$E$11))*(1/(1+$D$11))))</f>
        <v>406231.51200877794</v>
      </c>
      <c r="I212" s="181">
        <f t="shared" ref="I212:AA212" si="220">I211*(1/((1+$H$11)^(I198-$G$18))*(1/(1+$G$11)*(1/(1+$F$11)*(1/(1+$E$11))*((1/(1+$D$11))))))</f>
        <v>502615.43275607948</v>
      </c>
      <c r="J212" s="181">
        <f t="shared" si="220"/>
        <v>474983.57769722689</v>
      </c>
      <c r="K212" s="181">
        <f t="shared" si="220"/>
        <v>448863.47961875139</v>
      </c>
      <c r="L212" s="181">
        <f t="shared" si="220"/>
        <v>424172.92307440186</v>
      </c>
      <c r="M212" s="181">
        <f t="shared" si="220"/>
        <v>400834.1304279716</v>
      </c>
      <c r="N212" s="181">
        <f t="shared" si="220"/>
        <v>378773.52458253247</v>
      </c>
      <c r="O212" s="181">
        <f t="shared" si="220"/>
        <v>357921.5042397303</v>
      </c>
      <c r="P212" s="181">
        <f t="shared" si="220"/>
        <v>338212.23103822122</v>
      </c>
      <c r="Q212" s="181">
        <f t="shared" si="220"/>
        <v>319583.42795338988</v>
      </c>
      <c r="R212" s="181">
        <f t="shared" si="220"/>
        <v>301976.18837192457</v>
      </c>
      <c r="S212" s="181">
        <f t="shared" si="220"/>
        <v>285334.79528470465</v>
      </c>
      <c r="T212" s="181">
        <f t="shared" si="220"/>
        <v>269606.5500698688</v>
      </c>
      <c r="U212" s="181">
        <f t="shared" si="220"/>
        <v>254741.61036492971</v>
      </c>
      <c r="V212" s="181">
        <f t="shared" si="220"/>
        <v>240692.83655246304</v>
      </c>
      <c r="W212" s="181">
        <f t="shared" si="220"/>
        <v>227415.64640828199</v>
      </c>
      <c r="X212" s="181">
        <f t="shared" si="220"/>
        <v>214867.87748417753</v>
      </c>
      <c r="Y212" s="181">
        <f t="shared" si="220"/>
        <v>203009.65681931315</v>
      </c>
      <c r="Z212" s="181">
        <f t="shared" si="220"/>
        <v>191803.27759527328</v>
      </c>
      <c r="AA212" s="181">
        <f t="shared" si="220"/>
        <v>181213.08236962109</v>
      </c>
    </row>
    <row r="213" spans="2:27" outlineLevel="1" x14ac:dyDescent="0.25">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outlineLevel="1" x14ac:dyDescent="0.25">
      <c r="B214" s="42" t="s">
        <v>168</v>
      </c>
      <c r="C214" s="126" t="s">
        <v>47</v>
      </c>
      <c r="D214" s="127">
        <f>SUM(D212:AA212)</f>
        <v>4573994.0641195998</v>
      </c>
      <c r="E214" s="40"/>
      <c r="F214" s="40"/>
      <c r="G214" s="40"/>
      <c r="H214" s="40"/>
    </row>
    <row r="215" spans="2:27" ht="4.9000000000000004" customHeight="1" outlineLevel="1" x14ac:dyDescent="0.25"/>
    <row r="216" spans="2:27" outlineLevel="1" x14ac:dyDescent="0.25">
      <c r="B216" s="42" t="s">
        <v>118</v>
      </c>
      <c r="C216" s="42"/>
      <c r="D216" s="241">
        <f>IFERROR(IRR(D211:AA211),0)</f>
        <v>0.20222449266572617</v>
      </c>
    </row>
    <row r="217" spans="2:27" ht="4.9000000000000004" customHeight="1" outlineLevel="1" x14ac:dyDescent="0.25"/>
    <row r="218" spans="2:27" outlineLevel="1" x14ac:dyDescent="0.25">
      <c r="B218" s="42" t="s">
        <v>119</v>
      </c>
    </row>
    <row r="219" spans="2:27" outlineLevel="1" x14ac:dyDescent="0.25">
      <c r="B219" s="3" t="s">
        <v>68</v>
      </c>
      <c r="C219" s="39"/>
      <c r="D219" s="21">
        <v>1</v>
      </c>
      <c r="E219" s="21">
        <v>2</v>
      </c>
      <c r="F219" s="21">
        <v>3</v>
      </c>
      <c r="G219" s="21">
        <v>4</v>
      </c>
      <c r="H219" s="21">
        <v>5</v>
      </c>
      <c r="I219" s="21">
        <v>6</v>
      </c>
      <c r="J219" s="21">
        <v>7</v>
      </c>
      <c r="K219" s="21">
        <v>8</v>
      </c>
      <c r="L219" s="21">
        <v>9</v>
      </c>
      <c r="M219" s="21">
        <v>10</v>
      </c>
      <c r="N219" s="21">
        <v>11</v>
      </c>
      <c r="O219" s="21">
        <v>12</v>
      </c>
      <c r="P219" s="21">
        <v>13</v>
      </c>
      <c r="Q219" s="21">
        <v>14</v>
      </c>
      <c r="R219" s="21">
        <v>15</v>
      </c>
      <c r="S219" s="21">
        <v>16</v>
      </c>
      <c r="T219" s="21">
        <v>17</v>
      </c>
      <c r="U219" s="21">
        <v>18</v>
      </c>
      <c r="V219" s="21">
        <v>19</v>
      </c>
      <c r="W219" s="21">
        <v>20</v>
      </c>
      <c r="X219" s="21">
        <v>21</v>
      </c>
      <c r="Y219" s="21">
        <v>22</v>
      </c>
      <c r="Z219" s="21">
        <v>23</v>
      </c>
      <c r="AA219" s="21">
        <v>24</v>
      </c>
    </row>
    <row r="220" spans="2:27" outlineLevel="1" x14ac:dyDescent="0.25">
      <c r="B220" s="3" t="s">
        <v>117</v>
      </c>
      <c r="C220" s="125" t="s">
        <v>47</v>
      </c>
      <c r="D220" s="180">
        <f>D211</f>
        <v>-2265709.1933300095</v>
      </c>
      <c r="E220" s="180">
        <f>E211</f>
        <v>-227995.69034430152</v>
      </c>
      <c r="F220" s="180">
        <f t="shared" ref="F220:AA220" si="221">F211</f>
        <v>68435.732161006425</v>
      </c>
      <c r="G220" s="180">
        <f t="shared" si="221"/>
        <v>539662.02196992352</v>
      </c>
      <c r="H220" s="180">
        <f t="shared" si="221"/>
        <v>570559.88821196184</v>
      </c>
      <c r="I220" s="180">
        <f t="shared" si="221"/>
        <v>755560.02445400006</v>
      </c>
      <c r="J220" s="180">
        <f t="shared" si="221"/>
        <v>764218.01715400012</v>
      </c>
      <c r="K220" s="180">
        <f t="shared" si="221"/>
        <v>772962.58978100005</v>
      </c>
      <c r="L220" s="180">
        <f t="shared" si="221"/>
        <v>781794.60813427006</v>
      </c>
      <c r="M220" s="180">
        <f t="shared" si="221"/>
        <v>790714.94667107274</v>
      </c>
      <c r="N220" s="180">
        <f t="shared" si="221"/>
        <v>799724.48859324353</v>
      </c>
      <c r="O220" s="180">
        <f t="shared" si="221"/>
        <v>808824.12593463587</v>
      </c>
      <c r="P220" s="180">
        <f t="shared" si="221"/>
        <v>818014.75964944228</v>
      </c>
      <c r="Q220" s="180">
        <f t="shared" si="221"/>
        <v>827297.29970139661</v>
      </c>
      <c r="R220" s="180">
        <f t="shared" si="221"/>
        <v>836672.66515387048</v>
      </c>
      <c r="S220" s="180">
        <f t="shared" si="221"/>
        <v>846141.78426086926</v>
      </c>
      <c r="T220" s="180">
        <f t="shared" si="221"/>
        <v>855705.59455893806</v>
      </c>
      <c r="U220" s="180">
        <f t="shared" si="221"/>
        <v>865365.04295998754</v>
      </c>
      <c r="V220" s="180">
        <f t="shared" si="221"/>
        <v>875121.08584504749</v>
      </c>
      <c r="W220" s="180">
        <f t="shared" si="221"/>
        <v>884974.68915895792</v>
      </c>
      <c r="X220" s="180">
        <f t="shared" si="221"/>
        <v>894926.82850600756</v>
      </c>
      <c r="Y220" s="180">
        <f t="shared" si="221"/>
        <v>904978.48924652755</v>
      </c>
      <c r="Z220" s="180">
        <f t="shared" si="221"/>
        <v>915130.66659445292</v>
      </c>
      <c r="AA220" s="180">
        <f t="shared" si="221"/>
        <v>925384.36571585748</v>
      </c>
    </row>
    <row r="221" spans="2:27" outlineLevel="1" x14ac:dyDescent="0.25">
      <c r="B221" s="128" t="s">
        <v>120</v>
      </c>
      <c r="C221" s="129" t="s">
        <v>47</v>
      </c>
      <c r="D221" s="242">
        <f>D200*1/(1+D191)</f>
        <v>2077924.3140521438</v>
      </c>
      <c r="E221" s="242">
        <f>E200*1/(1+E191)*(1/(1+D191))</f>
        <v>453964.93881626072</v>
      </c>
      <c r="F221" s="242">
        <f>F200*1/(1+F191)*(1/(1+E191))*(1/(1+D191))</f>
        <v>432412.4420554589</v>
      </c>
      <c r="G221" s="242">
        <f>G200*1/(1+G191)*(1/(1+F191)*(1/(1+E191))*(1/(1+D191)))</f>
        <v>155056.69357545185</v>
      </c>
      <c r="H221" s="242">
        <f>H200*1/(1+$H$11)*(1/(1+$G$11)*(1/(1+$F$11)*(1/(1+$E$11))*(1/(1+$D$11))))</f>
        <v>125614.43652933442</v>
      </c>
    </row>
    <row r="222" spans="2:27" outlineLevel="1" x14ac:dyDescent="0.25">
      <c r="B222" s="3" t="s">
        <v>121</v>
      </c>
      <c r="C222" s="125" t="s">
        <v>47</v>
      </c>
      <c r="D222" s="181">
        <f>D220-D221</f>
        <v>-4343633.5073821535</v>
      </c>
      <c r="E222" s="181">
        <f>D222+E220-E221</f>
        <v>-5025594.1365427151</v>
      </c>
      <c r="F222" s="181">
        <f>E222+F220-F221</f>
        <v>-5389570.8464371683</v>
      </c>
      <c r="G222" s="181">
        <f>F222+G220-G221</f>
        <v>-5004965.5180426966</v>
      </c>
      <c r="H222" s="181">
        <f>G222+H220-H221</f>
        <v>-4560020.0663600694</v>
      </c>
      <c r="I222" s="181">
        <f t="shared" ref="I222" si="222">H222+I220</f>
        <v>-3804460.0419060695</v>
      </c>
      <c r="J222" s="181">
        <f t="shared" ref="J222" si="223">I222+J220</f>
        <v>-3040242.0247520693</v>
      </c>
      <c r="K222" s="181">
        <f t="shared" ref="K222" si="224">J222+K220</f>
        <v>-2267279.434971069</v>
      </c>
      <c r="L222" s="181">
        <f t="shared" ref="L222" si="225">K222+L220</f>
        <v>-1485484.8268367988</v>
      </c>
      <c r="M222" s="181">
        <f t="shared" ref="M222" si="226">L222+M220</f>
        <v>-694769.88016572606</v>
      </c>
      <c r="N222" s="181">
        <f t="shared" ref="N222" si="227">M222+N220</f>
        <v>104954.60842751747</v>
      </c>
      <c r="O222" s="181">
        <f t="shared" ref="O222" si="228">N222+O220</f>
        <v>913778.73436215334</v>
      </c>
      <c r="P222" s="181">
        <f t="shared" ref="P222" si="229">O222+P220</f>
        <v>1731793.4940115956</v>
      </c>
      <c r="Q222" s="181">
        <f t="shared" ref="Q222" si="230">P222+Q220</f>
        <v>2559090.7937129922</v>
      </c>
      <c r="R222" s="181">
        <f t="shared" ref="R222" si="231">Q222+R220</f>
        <v>3395763.4588668626</v>
      </c>
      <c r="S222" s="181">
        <f t="shared" ref="S222" si="232">R222+S220</f>
        <v>4241905.2431277316</v>
      </c>
      <c r="T222" s="181">
        <f t="shared" ref="T222" si="233">S222+T220</f>
        <v>5097610.83768667</v>
      </c>
      <c r="U222" s="181">
        <f t="shared" ref="U222" si="234">T222+U220</f>
        <v>5962975.8806466572</v>
      </c>
      <c r="V222" s="181">
        <f t="shared" ref="V222" si="235">U222+V220</f>
        <v>6838096.9664917048</v>
      </c>
      <c r="W222" s="181">
        <f t="shared" ref="W222" si="236">V222+W220</f>
        <v>7723071.6556506623</v>
      </c>
      <c r="X222" s="181">
        <f t="shared" ref="X222" si="237">W222+X220</f>
        <v>8617998.48415667</v>
      </c>
      <c r="Y222" s="181">
        <f t="shared" ref="Y222" si="238">X222+Y220</f>
        <v>9522976.9734031968</v>
      </c>
      <c r="Z222" s="181">
        <f t="shared" ref="Z222" si="239">Y222+Z220</f>
        <v>10438107.63999765</v>
      </c>
      <c r="AA222" s="181">
        <f t="shared" ref="AA222" si="240">Z222+AA220</f>
        <v>11363492.005713508</v>
      </c>
    </row>
    <row r="223" spans="2:27" outlineLevel="1" x14ac:dyDescent="0.25">
      <c r="B223" s="130" t="s">
        <v>122</v>
      </c>
    </row>
    <row r="225" spans="2:27" ht="14.45" customHeight="1" x14ac:dyDescent="0.25">
      <c r="B225" s="445" t="s">
        <v>104</v>
      </c>
      <c r="C225" s="445"/>
      <c r="D225" s="445"/>
      <c r="E225" s="445"/>
      <c r="F225" s="445"/>
      <c r="G225" s="445"/>
      <c r="H225" s="445"/>
      <c r="I225" s="445"/>
      <c r="J225" s="445"/>
      <c r="K225" s="445"/>
      <c r="L225" s="445"/>
      <c r="M225" s="445"/>
      <c r="N225" s="445"/>
      <c r="O225" s="445"/>
      <c r="P225" s="445"/>
      <c r="Q225" s="445"/>
      <c r="R225" s="445"/>
      <c r="S225" s="445"/>
      <c r="T225" s="445"/>
      <c r="U225" s="445"/>
      <c r="V225" s="445"/>
      <c r="W225" s="445"/>
      <c r="X225" s="445"/>
      <c r="Y225" s="445"/>
      <c r="Z225" s="445"/>
      <c r="AA225" s="445"/>
    </row>
    <row r="227" spans="2:27" x14ac:dyDescent="0.25">
      <c r="B227" s="3" t="s">
        <v>70</v>
      </c>
      <c r="C227" s="3" t="s">
        <v>55</v>
      </c>
      <c r="D227" s="41">
        <v>7.0300000000000001E-2</v>
      </c>
      <c r="E227" s="41">
        <v>7.0300000000000001E-2</v>
      </c>
      <c r="F227" s="41">
        <v>7.0300000000000001E-2</v>
      </c>
      <c r="G227" s="41">
        <v>7.0300000000000001E-2</v>
      </c>
      <c r="H227" s="41">
        <v>7.0300000000000001E-2</v>
      </c>
      <c r="I227" s="17" t="s">
        <v>71</v>
      </c>
    </row>
    <row r="228" spans="2:27" x14ac:dyDescent="0.25">
      <c r="B228" s="3" t="s">
        <v>72</v>
      </c>
      <c r="C228" s="243" t="s">
        <v>60</v>
      </c>
      <c r="D228" s="145">
        <v>7.0279999999999996</v>
      </c>
      <c r="E228" s="17"/>
    </row>
    <row r="230" spans="2:27" ht="15.75" x14ac:dyDescent="0.25">
      <c r="B230" s="448" t="s">
        <v>298</v>
      </c>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c r="AA230" s="449"/>
    </row>
    <row r="231" spans="2:27" ht="6" customHeight="1" x14ac:dyDescent="0.25">
      <c r="B231" s="116"/>
      <c r="C231" s="116"/>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row>
    <row r="232" spans="2:27" outlineLevel="1" x14ac:dyDescent="0.25">
      <c r="B232" s="118" t="s">
        <v>105</v>
      </c>
      <c r="C232" s="110"/>
    </row>
    <row r="233" spans="2:27" outlineLevel="1" x14ac:dyDescent="0.25">
      <c r="B233" s="3"/>
      <c r="C233" s="27" t="s">
        <v>20</v>
      </c>
      <c r="D233" s="27">
        <f>$C$3</f>
        <v>2023</v>
      </c>
      <c r="E233" s="27">
        <f>$C$3+1</f>
        <v>2024</v>
      </c>
      <c r="F233" s="27">
        <f>$C$3+2</f>
        <v>2025</v>
      </c>
      <c r="G233" s="27">
        <f>$C$3+3</f>
        <v>2026</v>
      </c>
      <c r="H233" s="27">
        <f>$C$3+4</f>
        <v>2027</v>
      </c>
      <c r="I233" s="27">
        <f>H233+1</f>
        <v>2028</v>
      </c>
      <c r="J233" s="27">
        <f t="shared" ref="J233" si="241">I233+1</f>
        <v>2029</v>
      </c>
      <c r="K233" s="27">
        <f t="shared" ref="K233" si="242">J233+1</f>
        <v>2030</v>
      </c>
      <c r="L233" s="27">
        <f t="shared" ref="L233" si="243">K233+1</f>
        <v>2031</v>
      </c>
      <c r="M233" s="27">
        <f t="shared" ref="M233" si="244">L233+1</f>
        <v>2032</v>
      </c>
      <c r="N233" s="27">
        <f t="shared" ref="N233" si="245">M233+1</f>
        <v>2033</v>
      </c>
      <c r="O233" s="27">
        <f t="shared" ref="O233" si="246">N233+1</f>
        <v>2034</v>
      </c>
      <c r="P233" s="27">
        <f t="shared" ref="P233" si="247">O233+1</f>
        <v>2035</v>
      </c>
      <c r="Q233" s="27">
        <f t="shared" ref="Q233" si="248">P233+1</f>
        <v>2036</v>
      </c>
      <c r="R233" s="27">
        <f t="shared" ref="R233" si="249">Q233+1</f>
        <v>2037</v>
      </c>
      <c r="S233" s="27">
        <f t="shared" ref="S233" si="250">R233+1</f>
        <v>2038</v>
      </c>
      <c r="T233" s="27">
        <f t="shared" ref="T233" si="251">S233+1</f>
        <v>2039</v>
      </c>
      <c r="U233" s="27">
        <f t="shared" ref="U233" si="252">T233+1</f>
        <v>2040</v>
      </c>
      <c r="V233" s="27">
        <f t="shared" ref="V233" si="253">U233+1</f>
        <v>2041</v>
      </c>
      <c r="W233" s="27">
        <f t="shared" ref="W233" si="254">V233+1</f>
        <v>2042</v>
      </c>
      <c r="X233" s="27">
        <f t="shared" ref="X233" si="255">W233+1</f>
        <v>2043</v>
      </c>
      <c r="Y233" s="27">
        <f t="shared" ref="Y233" si="256">X233+1</f>
        <v>2044</v>
      </c>
      <c r="Z233" s="27">
        <f t="shared" ref="Z233" si="257">Y233+1</f>
        <v>2045</v>
      </c>
      <c r="AA233" s="27">
        <f t="shared" ref="AA233" si="258">Z233+1</f>
        <v>2046</v>
      </c>
    </row>
    <row r="234" spans="2:27" outlineLevel="1" x14ac:dyDescent="0.25">
      <c r="B234" s="3" t="s">
        <v>68</v>
      </c>
      <c r="C234" s="39"/>
      <c r="D234" s="21">
        <v>1</v>
      </c>
      <c r="E234" s="21">
        <v>2</v>
      </c>
      <c r="F234" s="21">
        <v>3</v>
      </c>
      <c r="G234" s="21">
        <v>4</v>
      </c>
      <c r="H234" s="21">
        <v>5</v>
      </c>
      <c r="I234" s="21">
        <v>6</v>
      </c>
      <c r="J234" s="21">
        <v>7</v>
      </c>
      <c r="K234" s="21">
        <v>8</v>
      </c>
      <c r="L234" s="21">
        <v>9</v>
      </c>
      <c r="M234" s="21">
        <v>10</v>
      </c>
      <c r="N234" s="21">
        <v>11</v>
      </c>
      <c r="O234" s="21">
        <v>12</v>
      </c>
      <c r="P234" s="21">
        <v>13</v>
      </c>
      <c r="Q234" s="21">
        <v>14</v>
      </c>
      <c r="R234" s="21">
        <v>15</v>
      </c>
      <c r="S234" s="21">
        <v>16</v>
      </c>
      <c r="T234" s="21">
        <v>17</v>
      </c>
      <c r="U234" s="21">
        <v>18</v>
      </c>
      <c r="V234" s="21">
        <v>19</v>
      </c>
      <c r="W234" s="21">
        <v>20</v>
      </c>
      <c r="X234" s="21">
        <v>21</v>
      </c>
      <c r="Y234" s="21">
        <v>22</v>
      </c>
      <c r="Z234" s="21">
        <v>23</v>
      </c>
      <c r="AA234" s="21">
        <v>24</v>
      </c>
    </row>
    <row r="235" spans="2:27" outlineLevel="1" x14ac:dyDescent="0.25">
      <c r="B235" s="446" t="s">
        <v>106</v>
      </c>
      <c r="C235" s="447"/>
      <c r="D235" s="447"/>
      <c r="E235" s="447"/>
      <c r="F235" s="447"/>
      <c r="G235" s="447"/>
      <c r="H235" s="447"/>
      <c r="I235" s="447"/>
      <c r="J235" s="447"/>
      <c r="K235" s="447"/>
      <c r="L235" s="447"/>
      <c r="M235" s="447"/>
      <c r="N235" s="447"/>
      <c r="O235" s="447"/>
      <c r="P235" s="447"/>
      <c r="Q235" s="447"/>
      <c r="R235" s="447"/>
      <c r="S235" s="447"/>
      <c r="T235" s="447"/>
      <c r="U235" s="447"/>
      <c r="V235" s="447"/>
      <c r="W235" s="447"/>
      <c r="X235" s="447"/>
      <c r="Y235" s="447"/>
      <c r="Z235" s="447"/>
      <c r="AA235" s="447"/>
    </row>
    <row r="236" spans="2:27" outlineLevel="1" x14ac:dyDescent="0.25">
      <c r="B236" s="3" t="s">
        <v>167</v>
      </c>
      <c r="C236" s="119" t="s">
        <v>47</v>
      </c>
      <c r="D236" s="36">
        <f>Επενδύσεις!D18</f>
        <v>3689057.0749653466</v>
      </c>
      <c r="E236" s="36">
        <f>Επενδύσεις!E18</f>
        <v>1932373.3333333335</v>
      </c>
      <c r="F236" s="36">
        <f>Επενδύσεις!F18</f>
        <v>1218813.3333333335</v>
      </c>
      <c r="G236" s="36">
        <f>Επενδύσεις!G18</f>
        <v>1190586.6666666667</v>
      </c>
      <c r="H236" s="36">
        <f>Επενδύσεις!H18</f>
        <v>668880</v>
      </c>
      <c r="I236" s="120"/>
      <c r="J236" s="120"/>
      <c r="K236" s="120"/>
      <c r="L236" s="120"/>
      <c r="M236" s="120"/>
      <c r="N236" s="120"/>
      <c r="O236" s="120"/>
      <c r="P236" s="120"/>
      <c r="Q236" s="120"/>
      <c r="R236" s="120"/>
      <c r="S236" s="120"/>
      <c r="T236" s="120"/>
      <c r="U236" s="120"/>
      <c r="V236" s="120"/>
      <c r="W236" s="120"/>
      <c r="X236" s="120"/>
      <c r="Y236" s="120"/>
      <c r="Z236" s="120"/>
      <c r="AA236" s="120"/>
    </row>
    <row r="237" spans="2:27" outlineLevel="1" x14ac:dyDescent="0.25">
      <c r="B237" s="3" t="s">
        <v>107</v>
      </c>
      <c r="C237" s="119" t="s">
        <v>47</v>
      </c>
      <c r="D237" s="120"/>
      <c r="E237" s="120"/>
      <c r="F237" s="120"/>
      <c r="G237" s="120"/>
      <c r="H237" s="120"/>
      <c r="I237" s="36"/>
      <c r="J237" s="36"/>
      <c r="K237" s="36"/>
      <c r="L237" s="36"/>
      <c r="M237" s="36"/>
      <c r="N237" s="36"/>
      <c r="O237" s="36"/>
      <c r="P237" s="36"/>
      <c r="Q237" s="36"/>
      <c r="R237" s="36"/>
      <c r="S237" s="36"/>
      <c r="T237" s="36"/>
      <c r="U237" s="36"/>
      <c r="V237" s="36"/>
      <c r="W237" s="36"/>
      <c r="X237" s="36"/>
      <c r="Y237" s="36"/>
      <c r="Z237" s="36"/>
      <c r="AA237" s="36"/>
    </row>
    <row r="238" spans="2:27" outlineLevel="1" x14ac:dyDescent="0.25">
      <c r="B238" s="3" t="s">
        <v>108</v>
      </c>
      <c r="C238" s="121" t="s">
        <v>47</v>
      </c>
      <c r="D238" s="36">
        <v>147043.20000000001</v>
      </c>
      <c r="E238" s="36">
        <v>237236.53528875002</v>
      </c>
      <c r="F238" s="36">
        <v>240176.53528875002</v>
      </c>
      <c r="G238" s="36">
        <v>243169.03528875002</v>
      </c>
      <c r="H238" s="36">
        <f>G238</f>
        <v>243169.03528875002</v>
      </c>
      <c r="I238" s="36">
        <f t="shared" ref="I238:AA238" si="259">H238</f>
        <v>243169.03528875002</v>
      </c>
      <c r="J238" s="36">
        <f t="shared" si="259"/>
        <v>243169.03528875002</v>
      </c>
      <c r="K238" s="36">
        <f t="shared" si="259"/>
        <v>243169.03528875002</v>
      </c>
      <c r="L238" s="36">
        <f t="shared" si="259"/>
        <v>243169.03528875002</v>
      </c>
      <c r="M238" s="36">
        <f t="shared" si="259"/>
        <v>243169.03528875002</v>
      </c>
      <c r="N238" s="36">
        <f t="shared" si="259"/>
        <v>243169.03528875002</v>
      </c>
      <c r="O238" s="36">
        <f t="shared" si="259"/>
        <v>243169.03528875002</v>
      </c>
      <c r="P238" s="36">
        <f t="shared" si="259"/>
        <v>243169.03528875002</v>
      </c>
      <c r="Q238" s="36">
        <f t="shared" si="259"/>
        <v>243169.03528875002</v>
      </c>
      <c r="R238" s="36">
        <f t="shared" si="259"/>
        <v>243169.03528875002</v>
      </c>
      <c r="S238" s="36">
        <f t="shared" si="259"/>
        <v>243169.03528875002</v>
      </c>
      <c r="T238" s="36">
        <f t="shared" si="259"/>
        <v>243169.03528875002</v>
      </c>
      <c r="U238" s="36">
        <f t="shared" si="259"/>
        <v>243169.03528875002</v>
      </c>
      <c r="V238" s="36">
        <f t="shared" si="259"/>
        <v>243169.03528875002</v>
      </c>
      <c r="W238" s="36">
        <f t="shared" si="259"/>
        <v>243169.03528875002</v>
      </c>
      <c r="X238" s="36">
        <f t="shared" si="259"/>
        <v>243169.03528875002</v>
      </c>
      <c r="Y238" s="36">
        <f t="shared" si="259"/>
        <v>243169.03528875002</v>
      </c>
      <c r="Z238" s="36">
        <f t="shared" si="259"/>
        <v>243169.03528875002</v>
      </c>
      <c r="AA238" s="36">
        <f t="shared" si="259"/>
        <v>243169.03528875002</v>
      </c>
    </row>
    <row r="239" spans="2:27" outlineLevel="1" x14ac:dyDescent="0.25">
      <c r="B239" s="122" t="s">
        <v>109</v>
      </c>
      <c r="C239" s="121" t="s">
        <v>47</v>
      </c>
      <c r="D239" s="240">
        <f>D236+D238</f>
        <v>3836100.2749653468</v>
      </c>
      <c r="E239" s="240">
        <f>E236+E238</f>
        <v>2169609.8686220837</v>
      </c>
      <c r="F239" s="240">
        <f>F236+F238</f>
        <v>1458989.8686220834</v>
      </c>
      <c r="G239" s="240">
        <f>G236+G238</f>
        <v>1433755.7019554167</v>
      </c>
      <c r="H239" s="240">
        <f>H236+H238</f>
        <v>912049.03528874996</v>
      </c>
      <c r="I239" s="240">
        <f>I237+I238</f>
        <v>243169.03528875002</v>
      </c>
      <c r="J239" s="240">
        <f t="shared" ref="J239:AA239" si="260">J237+J238</f>
        <v>243169.03528875002</v>
      </c>
      <c r="K239" s="240">
        <f t="shared" si="260"/>
        <v>243169.03528875002</v>
      </c>
      <c r="L239" s="240">
        <f t="shared" si="260"/>
        <v>243169.03528875002</v>
      </c>
      <c r="M239" s="240">
        <f t="shared" si="260"/>
        <v>243169.03528875002</v>
      </c>
      <c r="N239" s="240">
        <f t="shared" si="260"/>
        <v>243169.03528875002</v>
      </c>
      <c r="O239" s="240">
        <f t="shared" si="260"/>
        <v>243169.03528875002</v>
      </c>
      <c r="P239" s="240">
        <f t="shared" si="260"/>
        <v>243169.03528875002</v>
      </c>
      <c r="Q239" s="240">
        <f t="shared" si="260"/>
        <v>243169.03528875002</v>
      </c>
      <c r="R239" s="240">
        <f t="shared" si="260"/>
        <v>243169.03528875002</v>
      </c>
      <c r="S239" s="240">
        <f t="shared" si="260"/>
        <v>243169.03528875002</v>
      </c>
      <c r="T239" s="240">
        <f t="shared" si="260"/>
        <v>243169.03528875002</v>
      </c>
      <c r="U239" s="240">
        <f t="shared" si="260"/>
        <v>243169.03528875002</v>
      </c>
      <c r="V239" s="240">
        <f t="shared" si="260"/>
        <v>243169.03528875002</v>
      </c>
      <c r="W239" s="240">
        <f t="shared" si="260"/>
        <v>243169.03528875002</v>
      </c>
      <c r="X239" s="240">
        <f t="shared" si="260"/>
        <v>243169.03528875002</v>
      </c>
      <c r="Y239" s="240">
        <f t="shared" si="260"/>
        <v>243169.03528875002</v>
      </c>
      <c r="Z239" s="240">
        <f t="shared" si="260"/>
        <v>243169.03528875002</v>
      </c>
      <c r="AA239" s="240">
        <f t="shared" si="260"/>
        <v>243169.03528875002</v>
      </c>
    </row>
    <row r="240" spans="2:27" outlineLevel="1" x14ac:dyDescent="0.25">
      <c r="B240" s="17" t="s">
        <v>110</v>
      </c>
    </row>
    <row r="241" spans="2:27" outlineLevel="1" x14ac:dyDescent="0.25">
      <c r="B241" s="17" t="s">
        <v>111</v>
      </c>
    </row>
    <row r="242" spans="2:27" outlineLevel="1" x14ac:dyDescent="0.25">
      <c r="B242" s="446" t="s">
        <v>112</v>
      </c>
      <c r="C242" s="447"/>
      <c r="D242" s="447"/>
      <c r="E242" s="447"/>
      <c r="F242" s="447"/>
      <c r="G242" s="447"/>
      <c r="H242" s="447"/>
      <c r="I242" s="447"/>
      <c r="J242" s="447"/>
      <c r="K242" s="447"/>
      <c r="L242" s="447"/>
      <c r="M242" s="447"/>
      <c r="N242" s="447"/>
      <c r="O242" s="447"/>
      <c r="P242" s="447"/>
      <c r="Q242" s="447"/>
      <c r="R242" s="447"/>
      <c r="S242" s="447"/>
      <c r="T242" s="447"/>
      <c r="U242" s="447"/>
      <c r="V242" s="447"/>
      <c r="W242" s="447"/>
      <c r="X242" s="447"/>
      <c r="Y242" s="447"/>
      <c r="Z242" s="447"/>
      <c r="AA242" s="447"/>
    </row>
    <row r="243" spans="2:27" outlineLevel="1" x14ac:dyDescent="0.25">
      <c r="B243" s="123" t="s">
        <v>113</v>
      </c>
      <c r="C243" s="119" t="s">
        <v>26</v>
      </c>
      <c r="D243" s="36">
        <f>'Διανεμόμενες ποσότητες αερίου'!T21</f>
        <v>12245</v>
      </c>
      <c r="E243" s="36">
        <f>'Διανεμόμενες ποσότητες αερίου'!Z21</f>
        <v>92744</v>
      </c>
      <c r="F243" s="36">
        <f>'Διανεμόμενες ποσότητες αερίου'!AF21</f>
        <v>155159</v>
      </c>
      <c r="G243" s="36">
        <f>'Διανεμόμενες ποσότητες αερίου'!AL21</f>
        <v>196819</v>
      </c>
      <c r="H243" s="36">
        <f>'Διανεμόμενες ποσότητες αερίου'!AR21</f>
        <v>227489</v>
      </c>
      <c r="I243" s="36">
        <f>H243*1.01</f>
        <v>229763.89</v>
      </c>
      <c r="J243" s="36">
        <f t="shared" ref="J243:AA243" si="261">I243*1.01</f>
        <v>232061.5289</v>
      </c>
      <c r="K243" s="36">
        <f t="shared" si="261"/>
        <v>234382.14418900001</v>
      </c>
      <c r="L243" s="36">
        <f t="shared" si="261"/>
        <v>236725.96563089002</v>
      </c>
      <c r="M243" s="36">
        <f t="shared" si="261"/>
        <v>239093.2252871989</v>
      </c>
      <c r="N243" s="36">
        <f t="shared" si="261"/>
        <v>241484.15754007088</v>
      </c>
      <c r="O243" s="36">
        <f t="shared" si="261"/>
        <v>243898.99911547158</v>
      </c>
      <c r="P243" s="36">
        <f t="shared" si="261"/>
        <v>246337.98910662631</v>
      </c>
      <c r="Q243" s="36">
        <f t="shared" si="261"/>
        <v>248801.36899769257</v>
      </c>
      <c r="R243" s="36">
        <f t="shared" si="261"/>
        <v>251289.38268766951</v>
      </c>
      <c r="S243" s="36">
        <f t="shared" si="261"/>
        <v>253802.27651454622</v>
      </c>
      <c r="T243" s="36">
        <f t="shared" si="261"/>
        <v>256340.29927969168</v>
      </c>
      <c r="U243" s="36">
        <f t="shared" si="261"/>
        <v>258903.70227248859</v>
      </c>
      <c r="V243" s="36">
        <f t="shared" si="261"/>
        <v>261492.73929521348</v>
      </c>
      <c r="W243" s="36">
        <f t="shared" si="261"/>
        <v>264107.66668816563</v>
      </c>
      <c r="X243" s="36">
        <f t="shared" si="261"/>
        <v>266748.74335504731</v>
      </c>
      <c r="Y243" s="36">
        <f t="shared" si="261"/>
        <v>269416.23078859778</v>
      </c>
      <c r="Z243" s="36">
        <f t="shared" si="261"/>
        <v>272110.39309648378</v>
      </c>
      <c r="AA243" s="36">
        <f t="shared" si="261"/>
        <v>274831.49702744861</v>
      </c>
    </row>
    <row r="244" spans="2:27" outlineLevel="1" x14ac:dyDescent="0.25">
      <c r="B244" s="123" t="s">
        <v>114</v>
      </c>
      <c r="C244" s="121" t="s">
        <v>47</v>
      </c>
      <c r="D244" s="180">
        <f t="shared" ref="D244:AA244" si="262">D243*$D$12</f>
        <v>85715</v>
      </c>
      <c r="E244" s="180">
        <f t="shared" si="262"/>
        <v>649208</v>
      </c>
      <c r="F244" s="180">
        <f t="shared" si="262"/>
        <v>1086113</v>
      </c>
      <c r="G244" s="180">
        <f t="shared" si="262"/>
        <v>1377733</v>
      </c>
      <c r="H244" s="180">
        <f t="shared" si="262"/>
        <v>1592423</v>
      </c>
      <c r="I244" s="180">
        <f t="shared" si="262"/>
        <v>1608347.23</v>
      </c>
      <c r="J244" s="180">
        <f t="shared" si="262"/>
        <v>1624430.7023</v>
      </c>
      <c r="K244" s="180">
        <f t="shared" si="262"/>
        <v>1640675.009323</v>
      </c>
      <c r="L244" s="180">
        <f t="shared" si="262"/>
        <v>1657081.75941623</v>
      </c>
      <c r="M244" s="180">
        <f t="shared" si="262"/>
        <v>1673652.5770103922</v>
      </c>
      <c r="N244" s="180">
        <f t="shared" si="262"/>
        <v>1690389.1027804962</v>
      </c>
      <c r="O244" s="180">
        <f t="shared" si="262"/>
        <v>1707292.9938083012</v>
      </c>
      <c r="P244" s="180">
        <f t="shared" si="262"/>
        <v>1724365.9237463842</v>
      </c>
      <c r="Q244" s="180">
        <f t="shared" si="262"/>
        <v>1741609.5829838479</v>
      </c>
      <c r="R244" s="180">
        <f t="shared" si="262"/>
        <v>1759025.6788136866</v>
      </c>
      <c r="S244" s="180">
        <f t="shared" si="262"/>
        <v>1776615.9356018235</v>
      </c>
      <c r="T244" s="180">
        <f t="shared" si="262"/>
        <v>1794382.0949578418</v>
      </c>
      <c r="U244" s="180">
        <f t="shared" si="262"/>
        <v>1812325.9159074202</v>
      </c>
      <c r="V244" s="180">
        <f t="shared" si="262"/>
        <v>1830449.1750664944</v>
      </c>
      <c r="W244" s="180">
        <f t="shared" si="262"/>
        <v>1848753.6668171594</v>
      </c>
      <c r="X244" s="180">
        <f t="shared" si="262"/>
        <v>1867241.203485331</v>
      </c>
      <c r="Y244" s="180">
        <f t="shared" si="262"/>
        <v>1885913.6155201844</v>
      </c>
      <c r="Z244" s="180">
        <f t="shared" si="262"/>
        <v>1904772.7516753864</v>
      </c>
      <c r="AA244" s="180">
        <f t="shared" si="262"/>
        <v>1923820.4791921403</v>
      </c>
    </row>
    <row r="245" spans="2:27" outlineLevel="1" x14ac:dyDescent="0.25">
      <c r="B245" s="122" t="s">
        <v>115</v>
      </c>
      <c r="C245" s="121" t="s">
        <v>47</v>
      </c>
      <c r="D245" s="240">
        <f>D244</f>
        <v>85715</v>
      </c>
      <c r="E245" s="240">
        <f t="shared" ref="E245:G245" si="263">E244</f>
        <v>649208</v>
      </c>
      <c r="F245" s="240">
        <f t="shared" si="263"/>
        <v>1086113</v>
      </c>
      <c r="G245" s="240">
        <f t="shared" si="263"/>
        <v>1377733</v>
      </c>
      <c r="H245" s="240">
        <f>H244</f>
        <v>1592423</v>
      </c>
      <c r="I245" s="240">
        <f t="shared" ref="I245:AA245" si="264">I244</f>
        <v>1608347.23</v>
      </c>
      <c r="J245" s="240">
        <f t="shared" si="264"/>
        <v>1624430.7023</v>
      </c>
      <c r="K245" s="240">
        <f t="shared" si="264"/>
        <v>1640675.009323</v>
      </c>
      <c r="L245" s="240">
        <f t="shared" si="264"/>
        <v>1657081.75941623</v>
      </c>
      <c r="M245" s="240">
        <f t="shared" si="264"/>
        <v>1673652.5770103922</v>
      </c>
      <c r="N245" s="240">
        <f t="shared" si="264"/>
        <v>1690389.1027804962</v>
      </c>
      <c r="O245" s="240">
        <f t="shared" si="264"/>
        <v>1707292.9938083012</v>
      </c>
      <c r="P245" s="240">
        <f t="shared" si="264"/>
        <v>1724365.9237463842</v>
      </c>
      <c r="Q245" s="240">
        <f t="shared" si="264"/>
        <v>1741609.5829838479</v>
      </c>
      <c r="R245" s="240">
        <f t="shared" si="264"/>
        <v>1759025.6788136866</v>
      </c>
      <c r="S245" s="240">
        <f t="shared" si="264"/>
        <v>1776615.9356018235</v>
      </c>
      <c r="T245" s="240">
        <f t="shared" si="264"/>
        <v>1794382.0949578418</v>
      </c>
      <c r="U245" s="240">
        <f t="shared" si="264"/>
        <v>1812325.9159074202</v>
      </c>
      <c r="V245" s="240">
        <f t="shared" si="264"/>
        <v>1830449.1750664944</v>
      </c>
      <c r="W245" s="240">
        <f t="shared" si="264"/>
        <v>1848753.6668171594</v>
      </c>
      <c r="X245" s="240">
        <f t="shared" si="264"/>
        <v>1867241.203485331</v>
      </c>
      <c r="Y245" s="240">
        <f t="shared" si="264"/>
        <v>1885913.6155201844</v>
      </c>
      <c r="Z245" s="240">
        <f t="shared" si="264"/>
        <v>1904772.7516753864</v>
      </c>
      <c r="AA245" s="240">
        <f t="shared" si="264"/>
        <v>1923820.4791921403</v>
      </c>
    </row>
    <row r="246" spans="2:27" outlineLevel="1" x14ac:dyDescent="0.25">
      <c r="B246" s="124" t="s">
        <v>116</v>
      </c>
    </row>
    <row r="247" spans="2:27" outlineLevel="1" x14ac:dyDescent="0.25">
      <c r="B247" s="3" t="s">
        <v>117</v>
      </c>
      <c r="C247" s="125" t="s">
        <v>47</v>
      </c>
      <c r="D247" s="181">
        <f>D245-D239</f>
        <v>-3750385.2749653468</v>
      </c>
      <c r="E247" s="181">
        <f t="shared" ref="E247:AA247" si="265">E245-E239</f>
        <v>-1520401.8686220837</v>
      </c>
      <c r="F247" s="181">
        <f t="shared" si="265"/>
        <v>-372876.86862208345</v>
      </c>
      <c r="G247" s="181">
        <f t="shared" si="265"/>
        <v>-56022.701955416705</v>
      </c>
      <c r="H247" s="181">
        <f t="shared" si="265"/>
        <v>680373.96471125004</v>
      </c>
      <c r="I247" s="181">
        <f t="shared" si="265"/>
        <v>1365178.19471125</v>
      </c>
      <c r="J247" s="181">
        <f t="shared" si="265"/>
        <v>1381261.66701125</v>
      </c>
      <c r="K247" s="181">
        <f t="shared" si="265"/>
        <v>1397505.97403425</v>
      </c>
      <c r="L247" s="181">
        <f t="shared" si="265"/>
        <v>1413912.7241274801</v>
      </c>
      <c r="M247" s="181">
        <f t="shared" si="265"/>
        <v>1430483.5417216423</v>
      </c>
      <c r="N247" s="181">
        <f t="shared" si="265"/>
        <v>1447220.0674917463</v>
      </c>
      <c r="O247" s="181">
        <f t="shared" si="265"/>
        <v>1464123.9585195512</v>
      </c>
      <c r="P247" s="181">
        <f t="shared" si="265"/>
        <v>1481196.8884576343</v>
      </c>
      <c r="Q247" s="181">
        <f t="shared" si="265"/>
        <v>1498440.547695098</v>
      </c>
      <c r="R247" s="181">
        <f t="shared" si="265"/>
        <v>1515856.6435249366</v>
      </c>
      <c r="S247" s="181">
        <f t="shared" si="265"/>
        <v>1533446.9003130735</v>
      </c>
      <c r="T247" s="181">
        <f t="shared" si="265"/>
        <v>1551213.0596690918</v>
      </c>
      <c r="U247" s="181">
        <f t="shared" si="265"/>
        <v>1569156.8806186703</v>
      </c>
      <c r="V247" s="181">
        <f t="shared" si="265"/>
        <v>1587280.1397777444</v>
      </c>
      <c r="W247" s="181">
        <f t="shared" si="265"/>
        <v>1605584.6315284094</v>
      </c>
      <c r="X247" s="181">
        <f t="shared" si="265"/>
        <v>1624072.1681965811</v>
      </c>
      <c r="Y247" s="181">
        <f t="shared" si="265"/>
        <v>1642744.5802314344</v>
      </c>
      <c r="Z247" s="181">
        <f t="shared" si="265"/>
        <v>1661603.7163866365</v>
      </c>
      <c r="AA247" s="181">
        <f t="shared" si="265"/>
        <v>1680651.4439033903</v>
      </c>
    </row>
    <row r="248" spans="2:27" outlineLevel="1" x14ac:dyDescent="0.25">
      <c r="B248" s="3" t="s">
        <v>69</v>
      </c>
      <c r="C248" s="125" t="s">
        <v>47</v>
      </c>
      <c r="D248" s="181">
        <f>D247*1/(1+D227)</f>
        <v>-3504050.5231854124</v>
      </c>
      <c r="E248" s="181">
        <f>E247*1/(1+E227)*(1/(1+D227))</f>
        <v>-1327233.5271609998</v>
      </c>
      <c r="F248" s="181">
        <f>F247*1/(1+F227)*(1/(1+E227))*(1/(1+D227))</f>
        <v>-304122.7203131484</v>
      </c>
      <c r="G248" s="181">
        <f>G247*1/(1+G227)*(1/(1+F227)*(1/(1+E227))*(1/(1+D227)))</f>
        <v>-42691.552571507353</v>
      </c>
      <c r="H248" s="181">
        <f>H247*1/(1+$H$11)*(1/(1+$G$11)*(1/(1+$F$11)*(1/(1+$E$11))*(1/(1+$D$11))))</f>
        <v>484417.76249328617</v>
      </c>
      <c r="I248" s="181">
        <f t="shared" ref="I248:AA248" si="266">I247*(1/((1+$H$11)^(I234-$G$18))*(1/(1+$G$11)*(1/(1+$F$11)*(1/(1+$E$11))*((1/(1+$D$11))))))</f>
        <v>908147.07887676626</v>
      </c>
      <c r="J248" s="181">
        <f t="shared" si="266"/>
        <v>858494.03390973841</v>
      </c>
      <c r="K248" s="181">
        <f t="shared" si="266"/>
        <v>811539.13861566433</v>
      </c>
      <c r="L248" s="181">
        <f t="shared" si="266"/>
        <v>767136.90133590694</v>
      </c>
      <c r="M248" s="181">
        <f t="shared" si="266"/>
        <v>725149.59904512961</v>
      </c>
      <c r="N248" s="181">
        <f t="shared" si="266"/>
        <v>685446.86780153005</v>
      </c>
      <c r="O248" s="181">
        <f t="shared" si="266"/>
        <v>647905.3144231952</v>
      </c>
      <c r="P248" s="181">
        <f t="shared" si="266"/>
        <v>612408.14831606729</v>
      </c>
      <c r="Q248" s="181">
        <f t="shared" si="266"/>
        <v>578844.8324315811</v>
      </c>
      <c r="R248" s="181">
        <f t="shared" si="266"/>
        <v>547110.75238215819</v>
      </c>
      <c r="S248" s="181">
        <f t="shared" si="266"/>
        <v>517106.90279053571</v>
      </c>
      <c r="T248" s="181">
        <f t="shared" si="266"/>
        <v>488739.58999446977</v>
      </c>
      <c r="U248" s="181">
        <f t="shared" si="266"/>
        <v>461920.15027176501</v>
      </c>
      <c r="V248" s="181">
        <f t="shared" si="266"/>
        <v>436564.68279195606</v>
      </c>
      <c r="W248" s="181">
        <f t="shared" si="266"/>
        <v>412593.79654037929</v>
      </c>
      <c r="X248" s="181">
        <f t="shared" si="266"/>
        <v>389932.37049791159</v>
      </c>
      <c r="Y248" s="181">
        <f t="shared" si="266"/>
        <v>368509.3263954061</v>
      </c>
      <c r="Z248" s="181">
        <f t="shared" si="266"/>
        <v>348257.41339589324</v>
      </c>
      <c r="AA248" s="181">
        <f t="shared" si="266"/>
        <v>329113.00409002445</v>
      </c>
    </row>
    <row r="249" spans="2:27" outlineLevel="1" x14ac:dyDescent="0.25">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outlineLevel="1" x14ac:dyDescent="0.25">
      <c r="B250" s="42" t="s">
        <v>168</v>
      </c>
      <c r="C250" s="126" t="s">
        <v>47</v>
      </c>
      <c r="D250" s="127">
        <f>SUM(D248:AA248)</f>
        <v>6201239.3431682969</v>
      </c>
      <c r="E250" s="40"/>
      <c r="F250" s="40"/>
      <c r="G250" s="40"/>
      <c r="H250" s="40"/>
    </row>
    <row r="251" spans="2:27" ht="4.9000000000000004" customHeight="1" outlineLevel="1" x14ac:dyDescent="0.25"/>
    <row r="252" spans="2:27" outlineLevel="1" x14ac:dyDescent="0.25">
      <c r="B252" s="42" t="s">
        <v>118</v>
      </c>
      <c r="C252" s="42"/>
      <c r="D252" s="241">
        <f>IFERROR(IRR(D247:AA247),0)</f>
        <v>0.15321320047094145</v>
      </c>
    </row>
    <row r="253" spans="2:27" ht="4.9000000000000004" customHeight="1" outlineLevel="1" x14ac:dyDescent="0.25"/>
    <row r="254" spans="2:27" outlineLevel="1" x14ac:dyDescent="0.25">
      <c r="B254" s="42" t="s">
        <v>119</v>
      </c>
    </row>
    <row r="255" spans="2:27" outlineLevel="1" x14ac:dyDescent="0.25">
      <c r="B255" s="3" t="s">
        <v>68</v>
      </c>
      <c r="C255" s="39"/>
      <c r="D255" s="21">
        <v>1</v>
      </c>
      <c r="E255" s="21">
        <v>2</v>
      </c>
      <c r="F255" s="21">
        <v>3</v>
      </c>
      <c r="G255" s="21">
        <v>4</v>
      </c>
      <c r="H255" s="21">
        <v>5</v>
      </c>
      <c r="I255" s="21">
        <v>6</v>
      </c>
      <c r="J255" s="21">
        <v>7</v>
      </c>
      <c r="K255" s="21">
        <v>8</v>
      </c>
      <c r="L255" s="21">
        <v>9</v>
      </c>
      <c r="M255" s="21">
        <v>10</v>
      </c>
      <c r="N255" s="21">
        <v>11</v>
      </c>
      <c r="O255" s="21">
        <v>12</v>
      </c>
      <c r="P255" s="21">
        <v>13</v>
      </c>
      <c r="Q255" s="21">
        <v>14</v>
      </c>
      <c r="R255" s="21">
        <v>15</v>
      </c>
      <c r="S255" s="21">
        <v>16</v>
      </c>
      <c r="T255" s="21">
        <v>17</v>
      </c>
      <c r="U255" s="21">
        <v>18</v>
      </c>
      <c r="V255" s="21">
        <v>19</v>
      </c>
      <c r="W255" s="21">
        <v>20</v>
      </c>
      <c r="X255" s="21">
        <v>21</v>
      </c>
      <c r="Y255" s="21">
        <v>22</v>
      </c>
      <c r="Z255" s="21">
        <v>23</v>
      </c>
      <c r="AA255" s="21">
        <v>24</v>
      </c>
    </row>
    <row r="256" spans="2:27" outlineLevel="1" x14ac:dyDescent="0.25">
      <c r="B256" s="3" t="s">
        <v>117</v>
      </c>
      <c r="C256" s="125" t="s">
        <v>47</v>
      </c>
      <c r="D256" s="180">
        <f>D247</f>
        <v>-3750385.2749653468</v>
      </c>
      <c r="E256" s="180">
        <f>E247</f>
        <v>-1520401.8686220837</v>
      </c>
      <c r="F256" s="180">
        <f t="shared" ref="F256:AA256" si="267">F247</f>
        <v>-372876.86862208345</v>
      </c>
      <c r="G256" s="180">
        <f t="shared" si="267"/>
        <v>-56022.701955416705</v>
      </c>
      <c r="H256" s="180">
        <f t="shared" si="267"/>
        <v>680373.96471125004</v>
      </c>
      <c r="I256" s="180">
        <f t="shared" si="267"/>
        <v>1365178.19471125</v>
      </c>
      <c r="J256" s="180">
        <f t="shared" si="267"/>
        <v>1381261.66701125</v>
      </c>
      <c r="K256" s="180">
        <f t="shared" si="267"/>
        <v>1397505.97403425</v>
      </c>
      <c r="L256" s="180">
        <f t="shared" si="267"/>
        <v>1413912.7241274801</v>
      </c>
      <c r="M256" s="180">
        <f t="shared" si="267"/>
        <v>1430483.5417216423</v>
      </c>
      <c r="N256" s="180">
        <f t="shared" si="267"/>
        <v>1447220.0674917463</v>
      </c>
      <c r="O256" s="180">
        <f t="shared" si="267"/>
        <v>1464123.9585195512</v>
      </c>
      <c r="P256" s="180">
        <f t="shared" si="267"/>
        <v>1481196.8884576343</v>
      </c>
      <c r="Q256" s="180">
        <f t="shared" si="267"/>
        <v>1498440.547695098</v>
      </c>
      <c r="R256" s="180">
        <f t="shared" si="267"/>
        <v>1515856.6435249366</v>
      </c>
      <c r="S256" s="180">
        <f t="shared" si="267"/>
        <v>1533446.9003130735</v>
      </c>
      <c r="T256" s="180">
        <f t="shared" si="267"/>
        <v>1551213.0596690918</v>
      </c>
      <c r="U256" s="180">
        <f t="shared" si="267"/>
        <v>1569156.8806186703</v>
      </c>
      <c r="V256" s="180">
        <f t="shared" si="267"/>
        <v>1587280.1397777444</v>
      </c>
      <c r="W256" s="180">
        <f t="shared" si="267"/>
        <v>1605584.6315284094</v>
      </c>
      <c r="X256" s="180">
        <f t="shared" si="267"/>
        <v>1624072.1681965811</v>
      </c>
      <c r="Y256" s="180">
        <f t="shared" si="267"/>
        <v>1642744.5802314344</v>
      </c>
      <c r="Z256" s="180">
        <f t="shared" si="267"/>
        <v>1661603.7163866365</v>
      </c>
      <c r="AA256" s="180">
        <f t="shared" si="267"/>
        <v>1680651.4439033903</v>
      </c>
    </row>
    <row r="257" spans="2:27" outlineLevel="1" x14ac:dyDescent="0.25">
      <c r="B257" s="128" t="s">
        <v>120</v>
      </c>
      <c r="C257" s="129" t="s">
        <v>47</v>
      </c>
      <c r="D257" s="242">
        <f>D236*1/(1+D227)</f>
        <v>3446750.5138422372</v>
      </c>
      <c r="E257" s="242">
        <f>E236*1/(1+E227)*(1/(1+D227))</f>
        <v>1686863.66935093</v>
      </c>
      <c r="F257" s="242">
        <f>F236*1/(1+F227)*(1/(1+E227))*(1/(1+D227))</f>
        <v>994078.36119474657</v>
      </c>
      <c r="G257" s="242">
        <f>G236*1/(1+G227)*(1/(1+F227)*(1/(1+E227))*(1/(1+D227)))</f>
        <v>907274.93492522021</v>
      </c>
      <c r="H257" s="242">
        <f>H236*1/(1+$H$11)*(1/(1+$G$11)*(1/(1+$F$11)*(1/(1+$E$11))*(1/(1+$D$11))))</f>
        <v>476234.20322090347</v>
      </c>
    </row>
    <row r="258" spans="2:27" outlineLevel="1" x14ac:dyDescent="0.25">
      <c r="B258" s="3" t="s">
        <v>121</v>
      </c>
      <c r="C258" s="125" t="s">
        <v>47</v>
      </c>
      <c r="D258" s="181">
        <f>D256-D257</f>
        <v>-7197135.788807584</v>
      </c>
      <c r="E258" s="181">
        <f>D258+E256-E257</f>
        <v>-10404401.326780597</v>
      </c>
      <c r="F258" s="181">
        <f>E258+F256-F257</f>
        <v>-11771356.556597427</v>
      </c>
      <c r="G258" s="181">
        <f>F258+G256-G257</f>
        <v>-12734654.193478065</v>
      </c>
      <c r="H258" s="181">
        <f>G258+H256-H257</f>
        <v>-12530514.431987718</v>
      </c>
      <c r="I258" s="181">
        <f t="shared" ref="I258" si="268">H258+I256</f>
        <v>-11165336.237276468</v>
      </c>
      <c r="J258" s="181">
        <f t="shared" ref="J258" si="269">I258+J256</f>
        <v>-9784074.5702652186</v>
      </c>
      <c r="K258" s="181">
        <f t="shared" ref="K258" si="270">J258+K256</f>
        <v>-8386568.5962309688</v>
      </c>
      <c r="L258" s="181">
        <f t="shared" ref="L258" si="271">K258+L256</f>
        <v>-6972655.872103489</v>
      </c>
      <c r="M258" s="181">
        <f t="shared" ref="M258" si="272">L258+M256</f>
        <v>-5542172.330381847</v>
      </c>
      <c r="N258" s="181">
        <f t="shared" ref="N258" si="273">M258+N256</f>
        <v>-4094952.2628901005</v>
      </c>
      <c r="O258" s="181">
        <f t="shared" ref="O258" si="274">N258+O256</f>
        <v>-2630828.3043705495</v>
      </c>
      <c r="P258" s="181">
        <f t="shared" ref="P258" si="275">O258+P256</f>
        <v>-1149631.4159129153</v>
      </c>
      <c r="Q258" s="181">
        <f t="shared" ref="Q258" si="276">P258+Q256</f>
        <v>348809.13178218273</v>
      </c>
      <c r="R258" s="181">
        <f t="shared" ref="R258" si="277">Q258+R256</f>
        <v>1864665.7753071194</v>
      </c>
      <c r="S258" s="181">
        <f t="shared" ref="S258" si="278">R258+S256</f>
        <v>3398112.6756201927</v>
      </c>
      <c r="T258" s="181">
        <f t="shared" ref="T258" si="279">S258+T256</f>
        <v>4949325.735289285</v>
      </c>
      <c r="U258" s="181">
        <f t="shared" ref="U258" si="280">T258+U256</f>
        <v>6518482.615907955</v>
      </c>
      <c r="V258" s="181">
        <f t="shared" ref="V258" si="281">U258+V256</f>
        <v>8105762.7556856992</v>
      </c>
      <c r="W258" s="181">
        <f t="shared" ref="W258" si="282">V258+W256</f>
        <v>9711347.3872141093</v>
      </c>
      <c r="X258" s="181">
        <f t="shared" ref="X258" si="283">W258+X256</f>
        <v>11335419.555410691</v>
      </c>
      <c r="Y258" s="181">
        <f t="shared" ref="Y258" si="284">X258+Y256</f>
        <v>12978164.135642124</v>
      </c>
      <c r="Z258" s="181">
        <f t="shared" ref="Z258" si="285">Y258+Z256</f>
        <v>14639767.852028761</v>
      </c>
      <c r="AA258" s="181">
        <f t="shared" ref="AA258" si="286">Z258+AA256</f>
        <v>16320419.295932151</v>
      </c>
    </row>
    <row r="259" spans="2:27" outlineLevel="1" x14ac:dyDescent="0.25">
      <c r="B259" s="130" t="s">
        <v>122</v>
      </c>
    </row>
    <row r="261" spans="2:27" ht="14.45" customHeight="1" x14ac:dyDescent="0.25">
      <c r="B261" s="445" t="s">
        <v>104</v>
      </c>
      <c r="C261" s="445"/>
      <c r="D261" s="445"/>
      <c r="E261" s="445"/>
      <c r="F261" s="445"/>
      <c r="G261" s="445"/>
      <c r="H261" s="445"/>
      <c r="I261" s="445"/>
      <c r="J261" s="445"/>
      <c r="K261" s="445"/>
      <c r="L261" s="445"/>
      <c r="M261" s="445"/>
      <c r="N261" s="445"/>
      <c r="O261" s="445"/>
      <c r="P261" s="445"/>
      <c r="Q261" s="445"/>
      <c r="R261" s="445"/>
      <c r="S261" s="445"/>
      <c r="T261" s="445"/>
      <c r="U261" s="445"/>
      <c r="V261" s="445"/>
      <c r="W261" s="445"/>
      <c r="X261" s="445"/>
      <c r="Y261" s="445"/>
      <c r="Z261" s="445"/>
      <c r="AA261" s="445"/>
    </row>
    <row r="263" spans="2:27" x14ac:dyDescent="0.25">
      <c r="B263" s="3" t="s">
        <v>70</v>
      </c>
      <c r="C263" s="3" t="s">
        <v>55</v>
      </c>
      <c r="D263" s="41">
        <v>7.0300000000000001E-2</v>
      </c>
      <c r="E263" s="41">
        <v>7.0300000000000001E-2</v>
      </c>
      <c r="F263" s="41">
        <v>7.0300000000000001E-2</v>
      </c>
      <c r="G263" s="41">
        <v>7.0300000000000001E-2</v>
      </c>
      <c r="H263" s="41">
        <v>7.0300000000000001E-2</v>
      </c>
      <c r="I263" s="17" t="s">
        <v>71</v>
      </c>
    </row>
    <row r="264" spans="2:27" x14ac:dyDescent="0.25">
      <c r="B264" s="3" t="s">
        <v>72</v>
      </c>
      <c r="C264" s="243" t="s">
        <v>60</v>
      </c>
      <c r="D264" s="145">
        <v>7.0279999999999996</v>
      </c>
      <c r="E264" s="17"/>
    </row>
    <row r="266" spans="2:27" ht="15.75" x14ac:dyDescent="0.25">
      <c r="B266" s="448" t="s">
        <v>299</v>
      </c>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c r="AA266" s="449"/>
    </row>
    <row r="267" spans="2:27" ht="6" customHeight="1" x14ac:dyDescent="0.25">
      <c r="B267" s="116"/>
      <c r="C267" s="116"/>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row>
    <row r="268" spans="2:27" outlineLevel="1" x14ac:dyDescent="0.25">
      <c r="B268" s="118" t="s">
        <v>105</v>
      </c>
      <c r="C268" s="110"/>
    </row>
    <row r="269" spans="2:27" outlineLevel="1" x14ac:dyDescent="0.25">
      <c r="B269" s="3"/>
      <c r="C269" s="27" t="s">
        <v>20</v>
      </c>
      <c r="D269" s="27">
        <f>$C$3</f>
        <v>2023</v>
      </c>
      <c r="E269" s="27">
        <f>$C$3+1</f>
        <v>2024</v>
      </c>
      <c r="F269" s="27">
        <f>$C$3+2</f>
        <v>2025</v>
      </c>
      <c r="G269" s="27">
        <f>$C$3+3</f>
        <v>2026</v>
      </c>
      <c r="H269" s="27">
        <f>$C$3+4</f>
        <v>2027</v>
      </c>
      <c r="I269" s="27">
        <f>H269+1</f>
        <v>2028</v>
      </c>
      <c r="J269" s="27">
        <f t="shared" ref="J269" si="287">I269+1</f>
        <v>2029</v>
      </c>
      <c r="K269" s="27">
        <f t="shared" ref="K269" si="288">J269+1</f>
        <v>2030</v>
      </c>
      <c r="L269" s="27">
        <f t="shared" ref="L269" si="289">K269+1</f>
        <v>2031</v>
      </c>
      <c r="M269" s="27">
        <f t="shared" ref="M269" si="290">L269+1</f>
        <v>2032</v>
      </c>
      <c r="N269" s="27">
        <f t="shared" ref="N269" si="291">M269+1</f>
        <v>2033</v>
      </c>
      <c r="O269" s="27">
        <f t="shared" ref="O269" si="292">N269+1</f>
        <v>2034</v>
      </c>
      <c r="P269" s="27">
        <f t="shared" ref="P269" si="293">O269+1</f>
        <v>2035</v>
      </c>
      <c r="Q269" s="27">
        <f t="shared" ref="Q269" si="294">P269+1</f>
        <v>2036</v>
      </c>
      <c r="R269" s="27">
        <f t="shared" ref="R269" si="295">Q269+1</f>
        <v>2037</v>
      </c>
      <c r="S269" s="27">
        <f t="shared" ref="S269" si="296">R269+1</f>
        <v>2038</v>
      </c>
      <c r="T269" s="27">
        <f t="shared" ref="T269" si="297">S269+1</f>
        <v>2039</v>
      </c>
      <c r="U269" s="27">
        <f t="shared" ref="U269" si="298">T269+1</f>
        <v>2040</v>
      </c>
      <c r="V269" s="27">
        <f t="shared" ref="V269" si="299">U269+1</f>
        <v>2041</v>
      </c>
      <c r="W269" s="27">
        <f t="shared" ref="W269" si="300">V269+1</f>
        <v>2042</v>
      </c>
      <c r="X269" s="27">
        <f t="shared" ref="X269" si="301">W269+1</f>
        <v>2043</v>
      </c>
      <c r="Y269" s="27">
        <f t="shared" ref="Y269" si="302">X269+1</f>
        <v>2044</v>
      </c>
      <c r="Z269" s="27">
        <f t="shared" ref="Z269" si="303">Y269+1</f>
        <v>2045</v>
      </c>
      <c r="AA269" s="27">
        <f t="shared" ref="AA269" si="304">Z269+1</f>
        <v>2046</v>
      </c>
    </row>
    <row r="270" spans="2:27" outlineLevel="1" x14ac:dyDescent="0.25">
      <c r="B270" s="3" t="s">
        <v>68</v>
      </c>
      <c r="C270" s="39"/>
      <c r="D270" s="21">
        <v>1</v>
      </c>
      <c r="E270" s="21">
        <v>2</v>
      </c>
      <c r="F270" s="21">
        <v>3</v>
      </c>
      <c r="G270" s="21">
        <v>4</v>
      </c>
      <c r="H270" s="21">
        <v>5</v>
      </c>
      <c r="I270" s="21">
        <v>6</v>
      </c>
      <c r="J270" s="21">
        <v>7</v>
      </c>
      <c r="K270" s="21">
        <v>8</v>
      </c>
      <c r="L270" s="21">
        <v>9</v>
      </c>
      <c r="M270" s="21">
        <v>10</v>
      </c>
      <c r="N270" s="21">
        <v>11</v>
      </c>
      <c r="O270" s="21">
        <v>12</v>
      </c>
      <c r="P270" s="21">
        <v>13</v>
      </c>
      <c r="Q270" s="21">
        <v>14</v>
      </c>
      <c r="R270" s="21">
        <v>15</v>
      </c>
      <c r="S270" s="21">
        <v>16</v>
      </c>
      <c r="T270" s="21">
        <v>17</v>
      </c>
      <c r="U270" s="21">
        <v>18</v>
      </c>
      <c r="V270" s="21">
        <v>19</v>
      </c>
      <c r="W270" s="21">
        <v>20</v>
      </c>
      <c r="X270" s="21">
        <v>21</v>
      </c>
      <c r="Y270" s="21">
        <v>22</v>
      </c>
      <c r="Z270" s="21">
        <v>23</v>
      </c>
      <c r="AA270" s="21">
        <v>24</v>
      </c>
    </row>
    <row r="271" spans="2:27" outlineLevel="1" x14ac:dyDescent="0.25">
      <c r="B271" s="446" t="s">
        <v>106</v>
      </c>
      <c r="C271" s="447"/>
      <c r="D271" s="447"/>
      <c r="E271" s="447"/>
      <c r="F271" s="447"/>
      <c r="G271" s="447"/>
      <c r="H271" s="447"/>
      <c r="I271" s="447"/>
      <c r="J271" s="447"/>
      <c r="K271" s="447"/>
      <c r="L271" s="447"/>
      <c r="M271" s="447"/>
      <c r="N271" s="447"/>
      <c r="O271" s="447"/>
      <c r="P271" s="447"/>
      <c r="Q271" s="447"/>
      <c r="R271" s="447"/>
      <c r="S271" s="447"/>
      <c r="T271" s="447"/>
      <c r="U271" s="447"/>
      <c r="V271" s="447"/>
      <c r="W271" s="447"/>
      <c r="X271" s="447"/>
      <c r="Y271" s="447"/>
      <c r="Z271" s="447"/>
      <c r="AA271" s="447"/>
    </row>
    <row r="272" spans="2:27" outlineLevel="1" x14ac:dyDescent="0.25">
      <c r="B272" s="3" t="s">
        <v>167</v>
      </c>
      <c r="C272" s="119" t="s">
        <v>47</v>
      </c>
      <c r="D272" s="36">
        <f>Επενδύσεις!D19</f>
        <v>3768883.54</v>
      </c>
      <c r="E272" s="36">
        <f>Επενδύσεις!E19</f>
        <v>1770800</v>
      </c>
      <c r="F272" s="36">
        <f>Επενδύσεις!F19</f>
        <v>1387200</v>
      </c>
      <c r="G272" s="36">
        <f>Επενδύσεις!G19</f>
        <v>1192533.3333333333</v>
      </c>
      <c r="H272" s="36">
        <f>Επενδύσεις!H19</f>
        <v>668880</v>
      </c>
      <c r="I272" s="120"/>
      <c r="J272" s="120"/>
      <c r="K272" s="120"/>
      <c r="L272" s="120"/>
      <c r="M272" s="120"/>
      <c r="N272" s="120"/>
      <c r="O272" s="120"/>
      <c r="P272" s="120"/>
      <c r="Q272" s="120"/>
      <c r="R272" s="120"/>
      <c r="S272" s="120"/>
      <c r="T272" s="120"/>
      <c r="U272" s="120"/>
      <c r="V272" s="120"/>
      <c r="W272" s="120"/>
      <c r="X272" s="120"/>
      <c r="Y272" s="120"/>
      <c r="Z272" s="120"/>
      <c r="AA272" s="120"/>
    </row>
    <row r="273" spans="2:27" outlineLevel="1" x14ac:dyDescent="0.25">
      <c r="B273" s="3" t="s">
        <v>107</v>
      </c>
      <c r="C273" s="119" t="s">
        <v>47</v>
      </c>
      <c r="D273" s="120"/>
      <c r="E273" s="120"/>
      <c r="F273" s="120"/>
      <c r="G273" s="120"/>
      <c r="H273" s="120"/>
      <c r="I273" s="36"/>
      <c r="J273" s="36"/>
      <c r="K273" s="36"/>
      <c r="L273" s="36"/>
      <c r="M273" s="36"/>
      <c r="N273" s="36"/>
      <c r="O273" s="36"/>
      <c r="P273" s="36"/>
      <c r="Q273" s="36"/>
      <c r="R273" s="36"/>
      <c r="S273" s="36"/>
      <c r="T273" s="36"/>
      <c r="U273" s="36"/>
      <c r="V273" s="36"/>
      <c r="W273" s="36"/>
      <c r="X273" s="36"/>
      <c r="Y273" s="36"/>
      <c r="Z273" s="36"/>
      <c r="AA273" s="36"/>
    </row>
    <row r="274" spans="2:27" outlineLevel="1" x14ac:dyDescent="0.25">
      <c r="B274" s="3" t="s">
        <v>108</v>
      </c>
      <c r="C274" s="121" t="s">
        <v>47</v>
      </c>
      <c r="D274" s="36">
        <v>81231.600000000006</v>
      </c>
      <c r="E274" s="36">
        <v>188404.94206874998</v>
      </c>
      <c r="F274" s="36">
        <v>217078.34206875</v>
      </c>
      <c r="G274" s="36">
        <v>220070.84206875</v>
      </c>
      <c r="H274" s="36">
        <f>G274</f>
        <v>220070.84206875</v>
      </c>
      <c r="I274" s="36">
        <f t="shared" ref="I274:AA274" si="305">H274</f>
        <v>220070.84206875</v>
      </c>
      <c r="J274" s="36">
        <f t="shared" si="305"/>
        <v>220070.84206875</v>
      </c>
      <c r="K274" s="36">
        <f t="shared" si="305"/>
        <v>220070.84206875</v>
      </c>
      <c r="L274" s="36">
        <f t="shared" si="305"/>
        <v>220070.84206875</v>
      </c>
      <c r="M274" s="36">
        <f t="shared" si="305"/>
        <v>220070.84206875</v>
      </c>
      <c r="N274" s="36">
        <f t="shared" si="305"/>
        <v>220070.84206875</v>
      </c>
      <c r="O274" s="36">
        <f t="shared" si="305"/>
        <v>220070.84206875</v>
      </c>
      <c r="P274" s="36">
        <f t="shared" si="305"/>
        <v>220070.84206875</v>
      </c>
      <c r="Q274" s="36">
        <f t="shared" si="305"/>
        <v>220070.84206875</v>
      </c>
      <c r="R274" s="36">
        <f t="shared" si="305"/>
        <v>220070.84206875</v>
      </c>
      <c r="S274" s="36">
        <f t="shared" si="305"/>
        <v>220070.84206875</v>
      </c>
      <c r="T274" s="36">
        <f t="shared" si="305"/>
        <v>220070.84206875</v>
      </c>
      <c r="U274" s="36">
        <f t="shared" si="305"/>
        <v>220070.84206875</v>
      </c>
      <c r="V274" s="36">
        <f t="shared" si="305"/>
        <v>220070.84206875</v>
      </c>
      <c r="W274" s="36">
        <f t="shared" si="305"/>
        <v>220070.84206875</v>
      </c>
      <c r="X274" s="36">
        <f t="shared" si="305"/>
        <v>220070.84206875</v>
      </c>
      <c r="Y274" s="36">
        <f t="shared" si="305"/>
        <v>220070.84206875</v>
      </c>
      <c r="Z274" s="36">
        <f t="shared" si="305"/>
        <v>220070.84206875</v>
      </c>
      <c r="AA274" s="36">
        <f t="shared" si="305"/>
        <v>220070.84206875</v>
      </c>
    </row>
    <row r="275" spans="2:27" outlineLevel="1" x14ac:dyDescent="0.25">
      <c r="B275" s="122" t="s">
        <v>109</v>
      </c>
      <c r="C275" s="121" t="s">
        <v>47</v>
      </c>
      <c r="D275" s="240">
        <f>D272+D274</f>
        <v>3850115.14</v>
      </c>
      <c r="E275" s="240">
        <f>E272+E274</f>
        <v>1959204.94206875</v>
      </c>
      <c r="F275" s="240">
        <f>F272+F274</f>
        <v>1604278.3420687499</v>
      </c>
      <c r="G275" s="240">
        <f>G272+G274</f>
        <v>1412604.1754020832</v>
      </c>
      <c r="H275" s="240">
        <f>H272+H274</f>
        <v>888950.84206874995</v>
      </c>
      <c r="I275" s="240">
        <f>I273+I274</f>
        <v>220070.84206875</v>
      </c>
      <c r="J275" s="240">
        <f t="shared" ref="J275:AA275" si="306">J273+J274</f>
        <v>220070.84206875</v>
      </c>
      <c r="K275" s="240">
        <f t="shared" si="306"/>
        <v>220070.84206875</v>
      </c>
      <c r="L275" s="240">
        <f t="shared" si="306"/>
        <v>220070.84206875</v>
      </c>
      <c r="M275" s="240">
        <f t="shared" si="306"/>
        <v>220070.84206875</v>
      </c>
      <c r="N275" s="240">
        <f t="shared" si="306"/>
        <v>220070.84206875</v>
      </c>
      <c r="O275" s="240">
        <f t="shared" si="306"/>
        <v>220070.84206875</v>
      </c>
      <c r="P275" s="240">
        <f t="shared" si="306"/>
        <v>220070.84206875</v>
      </c>
      <c r="Q275" s="240">
        <f t="shared" si="306"/>
        <v>220070.84206875</v>
      </c>
      <c r="R275" s="240">
        <f t="shared" si="306"/>
        <v>220070.84206875</v>
      </c>
      <c r="S275" s="240">
        <f t="shared" si="306"/>
        <v>220070.84206875</v>
      </c>
      <c r="T275" s="240">
        <f t="shared" si="306"/>
        <v>220070.84206875</v>
      </c>
      <c r="U275" s="240">
        <f t="shared" si="306"/>
        <v>220070.84206875</v>
      </c>
      <c r="V275" s="240">
        <f t="shared" si="306"/>
        <v>220070.84206875</v>
      </c>
      <c r="W275" s="240">
        <f t="shared" si="306"/>
        <v>220070.84206875</v>
      </c>
      <c r="X275" s="240">
        <f t="shared" si="306"/>
        <v>220070.84206875</v>
      </c>
      <c r="Y275" s="240">
        <f t="shared" si="306"/>
        <v>220070.84206875</v>
      </c>
      <c r="Z275" s="240">
        <f t="shared" si="306"/>
        <v>220070.84206875</v>
      </c>
      <c r="AA275" s="240">
        <f t="shared" si="306"/>
        <v>220070.84206875</v>
      </c>
    </row>
    <row r="276" spans="2:27" outlineLevel="1" x14ac:dyDescent="0.25">
      <c r="B276" s="17" t="s">
        <v>110</v>
      </c>
    </row>
    <row r="277" spans="2:27" outlineLevel="1" x14ac:dyDescent="0.25">
      <c r="B277" s="17" t="s">
        <v>111</v>
      </c>
    </row>
    <row r="278" spans="2:27" outlineLevel="1" x14ac:dyDescent="0.25">
      <c r="B278" s="446" t="s">
        <v>112</v>
      </c>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row>
    <row r="279" spans="2:27" outlineLevel="1" x14ac:dyDescent="0.25">
      <c r="B279" s="123" t="s">
        <v>113</v>
      </c>
      <c r="C279" s="119" t="s">
        <v>26</v>
      </c>
      <c r="D279" s="36">
        <f>'Διανεμόμενες ποσότητες αερίου'!T22</f>
        <v>11444</v>
      </c>
      <c r="E279" s="36">
        <f>'Διανεμόμενες ποσότητες αερίου'!Z22</f>
        <v>107724</v>
      </c>
      <c r="F279" s="36">
        <f>'Διανεμόμενες ποσότητες αερίου'!AF22</f>
        <v>193544</v>
      </c>
      <c r="G279" s="36">
        <f>'Διανεμόμενες ποσότητες αερίου'!AL22</f>
        <v>275204</v>
      </c>
      <c r="H279" s="36">
        <f>'Διανεμόμενες ποσότητες αερίου'!AR22</f>
        <v>305874</v>
      </c>
      <c r="I279" s="36">
        <f>H279*1.01</f>
        <v>308932.74</v>
      </c>
      <c r="J279" s="36">
        <f t="shared" ref="J279:AA279" si="307">I279*1.01</f>
        <v>312022.0674</v>
      </c>
      <c r="K279" s="36">
        <f t="shared" si="307"/>
        <v>315142.28807399998</v>
      </c>
      <c r="L279" s="36">
        <f t="shared" si="307"/>
        <v>318293.71095474</v>
      </c>
      <c r="M279" s="36">
        <f t="shared" si="307"/>
        <v>321476.64806428738</v>
      </c>
      <c r="N279" s="36">
        <f t="shared" si="307"/>
        <v>324691.41454493027</v>
      </c>
      <c r="O279" s="36">
        <f t="shared" si="307"/>
        <v>327938.32869037957</v>
      </c>
      <c r="P279" s="36">
        <f t="shared" si="307"/>
        <v>331217.71197728335</v>
      </c>
      <c r="Q279" s="36">
        <f t="shared" si="307"/>
        <v>334529.88909705618</v>
      </c>
      <c r="R279" s="36">
        <f t="shared" si="307"/>
        <v>337875.18798802677</v>
      </c>
      <c r="S279" s="36">
        <f t="shared" si="307"/>
        <v>341253.93986790703</v>
      </c>
      <c r="T279" s="36">
        <f t="shared" si="307"/>
        <v>344666.47926658613</v>
      </c>
      <c r="U279" s="36">
        <f t="shared" si="307"/>
        <v>348113.14405925199</v>
      </c>
      <c r="V279" s="36">
        <f t="shared" si="307"/>
        <v>351594.27549984452</v>
      </c>
      <c r="W279" s="36">
        <f t="shared" si="307"/>
        <v>355110.21825484297</v>
      </c>
      <c r="X279" s="36">
        <f t="shared" si="307"/>
        <v>358661.3204373914</v>
      </c>
      <c r="Y279" s="36">
        <f t="shared" si="307"/>
        <v>362247.93364176532</v>
      </c>
      <c r="Z279" s="36">
        <f t="shared" si="307"/>
        <v>365870.41297818295</v>
      </c>
      <c r="AA279" s="36">
        <f t="shared" si="307"/>
        <v>369529.11710796476</v>
      </c>
    </row>
    <row r="280" spans="2:27" outlineLevel="1" x14ac:dyDescent="0.25">
      <c r="B280" s="123" t="s">
        <v>114</v>
      </c>
      <c r="C280" s="121" t="s">
        <v>47</v>
      </c>
      <c r="D280" s="180">
        <f t="shared" ref="D280:AA280" si="308">D279*$D$12</f>
        <v>80108</v>
      </c>
      <c r="E280" s="180">
        <f t="shared" si="308"/>
        <v>754068</v>
      </c>
      <c r="F280" s="180">
        <f t="shared" si="308"/>
        <v>1354808</v>
      </c>
      <c r="G280" s="180">
        <f t="shared" si="308"/>
        <v>1926428</v>
      </c>
      <c r="H280" s="180">
        <f t="shared" si="308"/>
        <v>2141118</v>
      </c>
      <c r="I280" s="180">
        <f t="shared" si="308"/>
        <v>2162529.1799999997</v>
      </c>
      <c r="J280" s="180">
        <f t="shared" si="308"/>
        <v>2184154.4717999999</v>
      </c>
      <c r="K280" s="180">
        <f t="shared" si="308"/>
        <v>2205996.016518</v>
      </c>
      <c r="L280" s="180">
        <f t="shared" si="308"/>
        <v>2228055.9766831798</v>
      </c>
      <c r="M280" s="180">
        <f t="shared" si="308"/>
        <v>2250336.5364500117</v>
      </c>
      <c r="N280" s="180">
        <f t="shared" si="308"/>
        <v>2272839.901814512</v>
      </c>
      <c r="O280" s="180">
        <f t="shared" si="308"/>
        <v>2295568.3008326571</v>
      </c>
      <c r="P280" s="180">
        <f t="shared" si="308"/>
        <v>2318523.9838409834</v>
      </c>
      <c r="Q280" s="180">
        <f t="shared" si="308"/>
        <v>2341709.2236793931</v>
      </c>
      <c r="R280" s="180">
        <f t="shared" si="308"/>
        <v>2365126.3159161871</v>
      </c>
      <c r="S280" s="180">
        <f t="shared" si="308"/>
        <v>2388777.579075349</v>
      </c>
      <c r="T280" s="180">
        <f t="shared" si="308"/>
        <v>2412665.3548661028</v>
      </c>
      <c r="U280" s="180">
        <f t="shared" si="308"/>
        <v>2436792.008414764</v>
      </c>
      <c r="V280" s="180">
        <f t="shared" si="308"/>
        <v>2461159.9284989117</v>
      </c>
      <c r="W280" s="180">
        <f t="shared" si="308"/>
        <v>2485771.527783901</v>
      </c>
      <c r="X280" s="180">
        <f t="shared" si="308"/>
        <v>2510629.24306174</v>
      </c>
      <c r="Y280" s="180">
        <f t="shared" si="308"/>
        <v>2535735.5354923573</v>
      </c>
      <c r="Z280" s="180">
        <f t="shared" si="308"/>
        <v>2561092.8908472806</v>
      </c>
      <c r="AA280" s="180">
        <f t="shared" si="308"/>
        <v>2586703.8197557535</v>
      </c>
    </row>
    <row r="281" spans="2:27" outlineLevel="1" x14ac:dyDescent="0.25">
      <c r="B281" s="122" t="s">
        <v>115</v>
      </c>
      <c r="C281" s="121" t="s">
        <v>47</v>
      </c>
      <c r="D281" s="240">
        <f>D280</f>
        <v>80108</v>
      </c>
      <c r="E281" s="240">
        <f t="shared" ref="E281:G281" si="309">E280</f>
        <v>754068</v>
      </c>
      <c r="F281" s="240">
        <f t="shared" si="309"/>
        <v>1354808</v>
      </c>
      <c r="G281" s="240">
        <f t="shared" si="309"/>
        <v>1926428</v>
      </c>
      <c r="H281" s="240">
        <f>H280</f>
        <v>2141118</v>
      </c>
      <c r="I281" s="240">
        <f t="shared" ref="I281:AA281" si="310">I280</f>
        <v>2162529.1799999997</v>
      </c>
      <c r="J281" s="240">
        <f t="shared" si="310"/>
        <v>2184154.4717999999</v>
      </c>
      <c r="K281" s="240">
        <f t="shared" si="310"/>
        <v>2205996.016518</v>
      </c>
      <c r="L281" s="240">
        <f t="shared" si="310"/>
        <v>2228055.9766831798</v>
      </c>
      <c r="M281" s="240">
        <f t="shared" si="310"/>
        <v>2250336.5364500117</v>
      </c>
      <c r="N281" s="240">
        <f t="shared" si="310"/>
        <v>2272839.901814512</v>
      </c>
      <c r="O281" s="240">
        <f t="shared" si="310"/>
        <v>2295568.3008326571</v>
      </c>
      <c r="P281" s="240">
        <f t="shared" si="310"/>
        <v>2318523.9838409834</v>
      </c>
      <c r="Q281" s="240">
        <f t="shared" si="310"/>
        <v>2341709.2236793931</v>
      </c>
      <c r="R281" s="240">
        <f t="shared" si="310"/>
        <v>2365126.3159161871</v>
      </c>
      <c r="S281" s="240">
        <f t="shared" si="310"/>
        <v>2388777.579075349</v>
      </c>
      <c r="T281" s="240">
        <f t="shared" si="310"/>
        <v>2412665.3548661028</v>
      </c>
      <c r="U281" s="240">
        <f t="shared" si="310"/>
        <v>2436792.008414764</v>
      </c>
      <c r="V281" s="240">
        <f t="shared" si="310"/>
        <v>2461159.9284989117</v>
      </c>
      <c r="W281" s="240">
        <f t="shared" si="310"/>
        <v>2485771.527783901</v>
      </c>
      <c r="X281" s="240">
        <f t="shared" si="310"/>
        <v>2510629.24306174</v>
      </c>
      <c r="Y281" s="240">
        <f t="shared" si="310"/>
        <v>2535735.5354923573</v>
      </c>
      <c r="Z281" s="240">
        <f t="shared" si="310"/>
        <v>2561092.8908472806</v>
      </c>
      <c r="AA281" s="240">
        <f t="shared" si="310"/>
        <v>2586703.8197557535</v>
      </c>
    </row>
    <row r="282" spans="2:27" outlineLevel="1" x14ac:dyDescent="0.25">
      <c r="B282" s="124" t="s">
        <v>116</v>
      </c>
    </row>
    <row r="283" spans="2:27" outlineLevel="1" x14ac:dyDescent="0.25">
      <c r="B283" s="3" t="s">
        <v>117</v>
      </c>
      <c r="C283" s="125" t="s">
        <v>47</v>
      </c>
      <c r="D283" s="181">
        <f>D281-D275</f>
        <v>-3770007.14</v>
      </c>
      <c r="E283" s="181">
        <f t="shared" ref="E283:AA283" si="311">E281-E275</f>
        <v>-1205136.94206875</v>
      </c>
      <c r="F283" s="181">
        <f t="shared" si="311"/>
        <v>-249470.34206874995</v>
      </c>
      <c r="G283" s="181">
        <f t="shared" si="311"/>
        <v>513823.8245979168</v>
      </c>
      <c r="H283" s="181">
        <f t="shared" si="311"/>
        <v>1252167.1579312501</v>
      </c>
      <c r="I283" s="181">
        <f t="shared" si="311"/>
        <v>1942458.3379312498</v>
      </c>
      <c r="J283" s="181">
        <f t="shared" si="311"/>
        <v>1964083.62973125</v>
      </c>
      <c r="K283" s="181">
        <f t="shared" si="311"/>
        <v>1985925.1744492501</v>
      </c>
      <c r="L283" s="181">
        <f t="shared" si="311"/>
        <v>2007985.1346144299</v>
      </c>
      <c r="M283" s="181">
        <f t="shared" si="311"/>
        <v>2030265.6943812617</v>
      </c>
      <c r="N283" s="181">
        <f t="shared" si="311"/>
        <v>2052769.059745762</v>
      </c>
      <c r="O283" s="181">
        <f t="shared" si="311"/>
        <v>2075497.4587639072</v>
      </c>
      <c r="P283" s="181">
        <f t="shared" si="311"/>
        <v>2098453.1417722334</v>
      </c>
      <c r="Q283" s="181">
        <f t="shared" si="311"/>
        <v>2121638.3816106431</v>
      </c>
      <c r="R283" s="181">
        <f t="shared" si="311"/>
        <v>2145055.4738474372</v>
      </c>
      <c r="S283" s="181">
        <f t="shared" si="311"/>
        <v>2168706.7370065991</v>
      </c>
      <c r="T283" s="181">
        <f t="shared" si="311"/>
        <v>2192594.5127973529</v>
      </c>
      <c r="U283" s="181">
        <f t="shared" si="311"/>
        <v>2216721.166346014</v>
      </c>
      <c r="V283" s="181">
        <f t="shared" si="311"/>
        <v>2241089.0864301617</v>
      </c>
      <c r="W283" s="181">
        <f t="shared" si="311"/>
        <v>2265700.685715151</v>
      </c>
      <c r="X283" s="181">
        <f t="shared" si="311"/>
        <v>2290558.40099299</v>
      </c>
      <c r="Y283" s="181">
        <f t="shared" si="311"/>
        <v>2315664.6934236074</v>
      </c>
      <c r="Z283" s="181">
        <f t="shared" si="311"/>
        <v>2341022.0487785307</v>
      </c>
      <c r="AA283" s="181">
        <f t="shared" si="311"/>
        <v>2366632.9776870036</v>
      </c>
    </row>
    <row r="284" spans="2:27" outlineLevel="1" x14ac:dyDescent="0.25">
      <c r="B284" s="3" t="s">
        <v>69</v>
      </c>
      <c r="C284" s="125" t="s">
        <v>47</v>
      </c>
      <c r="D284" s="181">
        <f>D283*1/(1+D263)</f>
        <v>-3522383.5746986824</v>
      </c>
      <c r="E284" s="181">
        <f>E283*1/(1+E263)*(1/(1+D263))</f>
        <v>-1052023.2757826906</v>
      </c>
      <c r="F284" s="181">
        <f>F283*1/(1+F263)*(1/(1+E263))*(1/(1+D263))</f>
        <v>-203470.91882573959</v>
      </c>
      <c r="G284" s="181">
        <f>G283*1/(1+G263)*(1/(1+F263)*(1/(1+E263))*(1/(1+D263)))</f>
        <v>391554.42445049726</v>
      </c>
      <c r="H284" s="181">
        <f>H283*1/(1+$H$11)*(1/(1+$G$11)*(1/(1+$F$11)*(1/(1+$E$11))*(1/(1+$D$11))))</f>
        <v>891527.37225925748</v>
      </c>
      <c r="I284" s="181">
        <f t="shared" ref="I284:AA284" si="312">I283*(1/((1+$H$11)^(I270-$G$18))*(1/(1+$G$11)*(1/(1+$F$11)*(1/(1+$E$11))*((1/(1+$D$11))))))</f>
        <v>1292166.7458988356</v>
      </c>
      <c r="J284" s="181">
        <f t="shared" si="312"/>
        <v>1220734.7228223111</v>
      </c>
      <c r="K284" s="181">
        <f t="shared" si="312"/>
        <v>1153237.2922709303</v>
      </c>
      <c r="L284" s="181">
        <f t="shared" si="312"/>
        <v>1089458.6828527569</v>
      </c>
      <c r="M284" s="181">
        <f t="shared" si="312"/>
        <v>1029194.8920039641</v>
      </c>
      <c r="N284" s="181">
        <f t="shared" si="312"/>
        <v>972253.04839870124</v>
      </c>
      <c r="O284" s="181">
        <f t="shared" si="312"/>
        <v>918450.80860823509</v>
      </c>
      <c r="P284" s="181">
        <f t="shared" si="312"/>
        <v>867615.78618960525</v>
      </c>
      <c r="Q284" s="181">
        <f t="shared" si="312"/>
        <v>819585.01147935889</v>
      </c>
      <c r="R284" s="181">
        <f t="shared" si="312"/>
        <v>774204.42045833345</v>
      </c>
      <c r="S284" s="181">
        <f t="shared" si="312"/>
        <v>731328.37113922357</v>
      </c>
      <c r="T284" s="181">
        <f t="shared" si="312"/>
        <v>690819.18601001217</v>
      </c>
      <c r="U284" s="181">
        <f t="shared" si="312"/>
        <v>652546.71914349427</v>
      </c>
      <c r="V284" s="181">
        <f t="shared" si="312"/>
        <v>616387.94665628078</v>
      </c>
      <c r="W284" s="181">
        <f t="shared" si="312"/>
        <v>582226.57927005331</v>
      </c>
      <c r="X284" s="181">
        <f t="shared" si="312"/>
        <v>549952.69579362206</v>
      </c>
      <c r="Y284" s="181">
        <f t="shared" si="312"/>
        <v>519462.39640671143</v>
      </c>
      <c r="Z284" s="181">
        <f t="shared" si="312"/>
        <v>490657.47468553425</v>
      </c>
      <c r="AA284" s="181">
        <f t="shared" si="312"/>
        <v>463445.10736627365</v>
      </c>
    </row>
    <row r="285" spans="2:27" outlineLevel="1" x14ac:dyDescent="0.25">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outlineLevel="1" x14ac:dyDescent="0.25">
      <c r="B286" s="42" t="s">
        <v>168</v>
      </c>
      <c r="C286" s="126" t="s">
        <v>47</v>
      </c>
      <c r="D286" s="127">
        <f>SUM(D284:AA284)</f>
        <v>11938931.914856879</v>
      </c>
      <c r="E286" s="40"/>
      <c r="F286" s="40"/>
      <c r="G286" s="40"/>
      <c r="H286" s="40"/>
    </row>
    <row r="287" spans="2:27" ht="4.9000000000000004" customHeight="1" outlineLevel="1" x14ac:dyDescent="0.25"/>
    <row r="288" spans="2:27" outlineLevel="1" x14ac:dyDescent="0.25">
      <c r="B288" s="42" t="s">
        <v>118</v>
      </c>
      <c r="C288" s="42"/>
      <c r="D288" s="241">
        <f>IFERROR(IRR(D283:AA283),0)</f>
        <v>0.22004723616579946</v>
      </c>
    </row>
    <row r="289" spans="2:27" ht="4.9000000000000004" customHeight="1" outlineLevel="1" x14ac:dyDescent="0.25"/>
    <row r="290" spans="2:27" outlineLevel="1" x14ac:dyDescent="0.25">
      <c r="B290" s="42" t="s">
        <v>119</v>
      </c>
    </row>
    <row r="291" spans="2:27" outlineLevel="1" x14ac:dyDescent="0.25">
      <c r="B291" s="3" t="s">
        <v>68</v>
      </c>
      <c r="C291" s="39"/>
      <c r="D291" s="21">
        <v>1</v>
      </c>
      <c r="E291" s="21">
        <v>2</v>
      </c>
      <c r="F291" s="21">
        <v>3</v>
      </c>
      <c r="G291" s="21">
        <v>4</v>
      </c>
      <c r="H291" s="21">
        <v>5</v>
      </c>
      <c r="I291" s="21">
        <v>6</v>
      </c>
      <c r="J291" s="21">
        <v>7</v>
      </c>
      <c r="K291" s="21">
        <v>8</v>
      </c>
      <c r="L291" s="21">
        <v>9</v>
      </c>
      <c r="M291" s="21">
        <v>10</v>
      </c>
      <c r="N291" s="21">
        <v>11</v>
      </c>
      <c r="O291" s="21">
        <v>12</v>
      </c>
      <c r="P291" s="21">
        <v>13</v>
      </c>
      <c r="Q291" s="21">
        <v>14</v>
      </c>
      <c r="R291" s="21">
        <v>15</v>
      </c>
      <c r="S291" s="21">
        <v>16</v>
      </c>
      <c r="T291" s="21">
        <v>17</v>
      </c>
      <c r="U291" s="21">
        <v>18</v>
      </c>
      <c r="V291" s="21">
        <v>19</v>
      </c>
      <c r="W291" s="21">
        <v>20</v>
      </c>
      <c r="X291" s="21">
        <v>21</v>
      </c>
      <c r="Y291" s="21">
        <v>22</v>
      </c>
      <c r="Z291" s="21">
        <v>23</v>
      </c>
      <c r="AA291" s="21">
        <v>24</v>
      </c>
    </row>
    <row r="292" spans="2:27" outlineLevel="1" x14ac:dyDescent="0.25">
      <c r="B292" s="3" t="s">
        <v>117</v>
      </c>
      <c r="C292" s="125" t="s">
        <v>47</v>
      </c>
      <c r="D292" s="180">
        <f>D283</f>
        <v>-3770007.14</v>
      </c>
      <c r="E292" s="180">
        <f>E283</f>
        <v>-1205136.94206875</v>
      </c>
      <c r="F292" s="180">
        <f t="shared" ref="F292:AA292" si="313">F283</f>
        <v>-249470.34206874995</v>
      </c>
      <c r="G292" s="180">
        <f t="shared" si="313"/>
        <v>513823.8245979168</v>
      </c>
      <c r="H292" s="180">
        <f t="shared" si="313"/>
        <v>1252167.1579312501</v>
      </c>
      <c r="I292" s="180">
        <f t="shared" si="313"/>
        <v>1942458.3379312498</v>
      </c>
      <c r="J292" s="180">
        <f t="shared" si="313"/>
        <v>1964083.62973125</v>
      </c>
      <c r="K292" s="180">
        <f t="shared" si="313"/>
        <v>1985925.1744492501</v>
      </c>
      <c r="L292" s="180">
        <f t="shared" si="313"/>
        <v>2007985.1346144299</v>
      </c>
      <c r="M292" s="180">
        <f t="shared" si="313"/>
        <v>2030265.6943812617</v>
      </c>
      <c r="N292" s="180">
        <f t="shared" si="313"/>
        <v>2052769.059745762</v>
      </c>
      <c r="O292" s="180">
        <f t="shared" si="313"/>
        <v>2075497.4587639072</v>
      </c>
      <c r="P292" s="180">
        <f t="shared" si="313"/>
        <v>2098453.1417722334</v>
      </c>
      <c r="Q292" s="180">
        <f t="shared" si="313"/>
        <v>2121638.3816106431</v>
      </c>
      <c r="R292" s="180">
        <f t="shared" si="313"/>
        <v>2145055.4738474372</v>
      </c>
      <c r="S292" s="180">
        <f t="shared" si="313"/>
        <v>2168706.7370065991</v>
      </c>
      <c r="T292" s="180">
        <f t="shared" si="313"/>
        <v>2192594.5127973529</v>
      </c>
      <c r="U292" s="180">
        <f t="shared" si="313"/>
        <v>2216721.166346014</v>
      </c>
      <c r="V292" s="180">
        <f t="shared" si="313"/>
        <v>2241089.0864301617</v>
      </c>
      <c r="W292" s="180">
        <f t="shared" si="313"/>
        <v>2265700.685715151</v>
      </c>
      <c r="X292" s="180">
        <f t="shared" si="313"/>
        <v>2290558.40099299</v>
      </c>
      <c r="Y292" s="180">
        <f t="shared" si="313"/>
        <v>2315664.6934236074</v>
      </c>
      <c r="Z292" s="180">
        <f t="shared" si="313"/>
        <v>2341022.0487785307</v>
      </c>
      <c r="AA292" s="180">
        <f t="shared" si="313"/>
        <v>2366632.9776870036</v>
      </c>
    </row>
    <row r="293" spans="2:27" outlineLevel="1" x14ac:dyDescent="0.25">
      <c r="B293" s="128" t="s">
        <v>120</v>
      </c>
      <c r="C293" s="129" t="s">
        <v>47</v>
      </c>
      <c r="D293" s="242">
        <f>D272*1/(1+D263)</f>
        <v>3521333.7755769412</v>
      </c>
      <c r="E293" s="242">
        <f>E272*1/(1+E263)*(1/(1+D263))</f>
        <v>1545818.3644740628</v>
      </c>
      <c r="F293" s="242">
        <f>F272*1/(1+F263)*(1/(1+E263))*(1/(1+D263))</f>
        <v>1131416.4892485742</v>
      </c>
      <c r="G293" s="242">
        <f>G272*1/(1+G263)*(1/(1+F263)*(1/(1+E263))*(1/(1+D263)))</f>
        <v>908758.37323573465</v>
      </c>
      <c r="H293" s="242">
        <f>H272*1/(1+$H$11)*(1/(1+$G$11)*(1/(1+$F$11)*(1/(1+$E$11))*(1/(1+$D$11))))</f>
        <v>476234.20322090347</v>
      </c>
    </row>
    <row r="294" spans="2:27" outlineLevel="1" x14ac:dyDescent="0.25">
      <c r="B294" s="3" t="s">
        <v>121</v>
      </c>
      <c r="C294" s="125" t="s">
        <v>47</v>
      </c>
      <c r="D294" s="181">
        <f>D292-D293</f>
        <v>-7291340.9155769413</v>
      </c>
      <c r="E294" s="181">
        <f>D294+E292-E293</f>
        <v>-10042296.222119752</v>
      </c>
      <c r="F294" s="181">
        <f>E294+F292-F293</f>
        <v>-11423183.053437077</v>
      </c>
      <c r="G294" s="181">
        <f>F294+G292-G293</f>
        <v>-11818117.602074893</v>
      </c>
      <c r="H294" s="181">
        <f>G294+H292-H293</f>
        <v>-11042184.647364547</v>
      </c>
      <c r="I294" s="181">
        <f t="shared" ref="I294" si="314">H294+I292</f>
        <v>-9099726.3094332982</v>
      </c>
      <c r="J294" s="181">
        <f t="shared" ref="J294" si="315">I294+J292</f>
        <v>-7135642.6797020482</v>
      </c>
      <c r="K294" s="181">
        <f t="shared" ref="K294" si="316">J294+K292</f>
        <v>-5149717.5052527981</v>
      </c>
      <c r="L294" s="181">
        <f t="shared" ref="L294" si="317">K294+L292</f>
        <v>-3141732.3706383682</v>
      </c>
      <c r="M294" s="181">
        <f t="shared" ref="M294" si="318">L294+M292</f>
        <v>-1111466.6762571065</v>
      </c>
      <c r="N294" s="181">
        <f t="shared" ref="N294" si="319">M294+N292</f>
        <v>941302.38348865556</v>
      </c>
      <c r="O294" s="181">
        <f t="shared" ref="O294" si="320">N294+O292</f>
        <v>3016799.8422525628</v>
      </c>
      <c r="P294" s="181">
        <f t="shared" ref="P294" si="321">O294+P292</f>
        <v>5115252.9840247966</v>
      </c>
      <c r="Q294" s="181">
        <f t="shared" ref="Q294" si="322">P294+Q292</f>
        <v>7236891.3656354398</v>
      </c>
      <c r="R294" s="181">
        <f t="shared" ref="R294" si="323">Q294+R292</f>
        <v>9381946.8394828774</v>
      </c>
      <c r="S294" s="181">
        <f t="shared" ref="S294" si="324">R294+S292</f>
        <v>11550653.576489476</v>
      </c>
      <c r="T294" s="181">
        <f t="shared" ref="T294" si="325">S294+T292</f>
        <v>13743248.08928683</v>
      </c>
      <c r="U294" s="181">
        <f t="shared" ref="U294" si="326">T294+U292</f>
        <v>15959969.255632844</v>
      </c>
      <c r="V294" s="181">
        <f t="shared" ref="V294" si="327">U294+V292</f>
        <v>18201058.342063006</v>
      </c>
      <c r="W294" s="181">
        <f t="shared" ref="W294" si="328">V294+W292</f>
        <v>20466759.027778156</v>
      </c>
      <c r="X294" s="181">
        <f t="shared" ref="X294" si="329">W294+X292</f>
        <v>22757317.428771146</v>
      </c>
      <c r="Y294" s="181">
        <f t="shared" ref="Y294" si="330">X294+Y292</f>
        <v>25072982.122194752</v>
      </c>
      <c r="Z294" s="181">
        <f t="shared" ref="Z294" si="331">Y294+Z292</f>
        <v>27414004.170973282</v>
      </c>
      <c r="AA294" s="181">
        <f t="shared" ref="AA294" si="332">Z294+AA292</f>
        <v>29780637.148660287</v>
      </c>
    </row>
    <row r="295" spans="2:27" outlineLevel="1" x14ac:dyDescent="0.25">
      <c r="B295" s="130" t="s">
        <v>122</v>
      </c>
    </row>
    <row r="297" spans="2:27" ht="14.45" customHeight="1" x14ac:dyDescent="0.25">
      <c r="B297" s="445" t="s">
        <v>104</v>
      </c>
      <c r="C297" s="445"/>
      <c r="D297" s="445"/>
      <c r="E297" s="445"/>
      <c r="F297" s="445"/>
      <c r="G297" s="445"/>
      <c r="H297" s="445"/>
      <c r="I297" s="445"/>
      <c r="J297" s="445"/>
      <c r="K297" s="445"/>
      <c r="L297" s="445"/>
      <c r="M297" s="445"/>
      <c r="N297" s="445"/>
      <c r="O297" s="445"/>
      <c r="P297" s="445"/>
      <c r="Q297" s="445"/>
      <c r="R297" s="445"/>
      <c r="S297" s="445"/>
      <c r="T297" s="445"/>
      <c r="U297" s="445"/>
      <c r="V297" s="445"/>
      <c r="W297" s="445"/>
      <c r="X297" s="445"/>
      <c r="Y297" s="445"/>
      <c r="Z297" s="445"/>
      <c r="AA297" s="445"/>
    </row>
    <row r="299" spans="2:27" x14ac:dyDescent="0.25">
      <c r="B299" s="3" t="s">
        <v>70</v>
      </c>
      <c r="C299" s="3" t="s">
        <v>55</v>
      </c>
      <c r="D299" s="41">
        <v>7.0300000000000001E-2</v>
      </c>
      <c r="E299" s="41">
        <v>7.0300000000000001E-2</v>
      </c>
      <c r="F299" s="41">
        <v>7.0300000000000001E-2</v>
      </c>
      <c r="G299" s="41">
        <v>7.0300000000000001E-2</v>
      </c>
      <c r="H299" s="41">
        <v>7.0300000000000001E-2</v>
      </c>
      <c r="I299" s="17" t="s">
        <v>71</v>
      </c>
    </row>
    <row r="300" spans="2:27" x14ac:dyDescent="0.25">
      <c r="B300" s="3" t="s">
        <v>72</v>
      </c>
      <c r="C300" s="243" t="s">
        <v>60</v>
      </c>
      <c r="D300" s="145">
        <v>7.0279999999999996</v>
      </c>
      <c r="E300" s="17"/>
    </row>
    <row r="301" spans="2:27" x14ac:dyDescent="0.25">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5.75" x14ac:dyDescent="0.25">
      <c r="B302" s="448" t="s">
        <v>300</v>
      </c>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c r="AA302" s="449"/>
    </row>
    <row r="303" spans="2:27" ht="6" customHeight="1" x14ac:dyDescent="0.25">
      <c r="B303" s="116"/>
      <c r="C303" s="116"/>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row>
    <row r="304" spans="2:27" outlineLevel="1" x14ac:dyDescent="0.25">
      <c r="B304" s="118" t="s">
        <v>105</v>
      </c>
      <c r="C304" s="110"/>
    </row>
    <row r="305" spans="2:27" outlineLevel="1" x14ac:dyDescent="0.25">
      <c r="B305" s="3"/>
      <c r="C305" s="27" t="s">
        <v>20</v>
      </c>
      <c r="D305" s="27">
        <f>$C$3</f>
        <v>2023</v>
      </c>
      <c r="E305" s="27">
        <f>$C$3+1</f>
        <v>2024</v>
      </c>
      <c r="F305" s="27">
        <f>$C$3+2</f>
        <v>2025</v>
      </c>
      <c r="G305" s="27">
        <f>$C$3+3</f>
        <v>2026</v>
      </c>
      <c r="H305" s="27">
        <f>$C$3+4</f>
        <v>2027</v>
      </c>
      <c r="I305" s="27">
        <f>H305+1</f>
        <v>2028</v>
      </c>
      <c r="J305" s="27">
        <f t="shared" ref="J305" si="333">I305+1</f>
        <v>2029</v>
      </c>
      <c r="K305" s="27">
        <f t="shared" ref="K305" si="334">J305+1</f>
        <v>2030</v>
      </c>
      <c r="L305" s="27">
        <f t="shared" ref="L305" si="335">K305+1</f>
        <v>2031</v>
      </c>
      <c r="M305" s="27">
        <f t="shared" ref="M305" si="336">L305+1</f>
        <v>2032</v>
      </c>
      <c r="N305" s="27">
        <f t="shared" ref="N305" si="337">M305+1</f>
        <v>2033</v>
      </c>
      <c r="O305" s="27">
        <f t="shared" ref="O305" si="338">N305+1</f>
        <v>2034</v>
      </c>
      <c r="P305" s="27">
        <f t="shared" ref="P305" si="339">O305+1</f>
        <v>2035</v>
      </c>
      <c r="Q305" s="27">
        <f t="shared" ref="Q305" si="340">P305+1</f>
        <v>2036</v>
      </c>
      <c r="R305" s="27">
        <f t="shared" ref="R305" si="341">Q305+1</f>
        <v>2037</v>
      </c>
      <c r="S305" s="27">
        <f t="shared" ref="S305" si="342">R305+1</f>
        <v>2038</v>
      </c>
      <c r="T305" s="27">
        <f t="shared" ref="T305" si="343">S305+1</f>
        <v>2039</v>
      </c>
      <c r="U305" s="27">
        <f t="shared" ref="U305" si="344">T305+1</f>
        <v>2040</v>
      </c>
      <c r="V305" s="27">
        <f t="shared" ref="V305" si="345">U305+1</f>
        <v>2041</v>
      </c>
      <c r="W305" s="27">
        <f t="shared" ref="W305" si="346">V305+1</f>
        <v>2042</v>
      </c>
      <c r="X305" s="27">
        <f t="shared" ref="X305" si="347">W305+1</f>
        <v>2043</v>
      </c>
      <c r="Y305" s="27">
        <f t="shared" ref="Y305" si="348">X305+1</f>
        <v>2044</v>
      </c>
      <c r="Z305" s="27">
        <f t="shared" ref="Z305" si="349">Y305+1</f>
        <v>2045</v>
      </c>
      <c r="AA305" s="27">
        <f t="shared" ref="AA305" si="350">Z305+1</f>
        <v>2046</v>
      </c>
    </row>
    <row r="306" spans="2:27" outlineLevel="1" x14ac:dyDescent="0.25">
      <c r="B306" s="3" t="s">
        <v>68</v>
      </c>
      <c r="C306" s="39"/>
      <c r="D306" s="21">
        <v>1</v>
      </c>
      <c r="E306" s="21">
        <v>2</v>
      </c>
      <c r="F306" s="21">
        <v>3</v>
      </c>
      <c r="G306" s="21">
        <v>4</v>
      </c>
      <c r="H306" s="21">
        <v>5</v>
      </c>
      <c r="I306" s="21">
        <v>6</v>
      </c>
      <c r="J306" s="21">
        <v>7</v>
      </c>
      <c r="K306" s="21">
        <v>8</v>
      </c>
      <c r="L306" s="21">
        <v>9</v>
      </c>
      <c r="M306" s="21">
        <v>10</v>
      </c>
      <c r="N306" s="21">
        <v>11</v>
      </c>
      <c r="O306" s="21">
        <v>12</v>
      </c>
      <c r="P306" s="21">
        <v>13</v>
      </c>
      <c r="Q306" s="21">
        <v>14</v>
      </c>
      <c r="R306" s="21">
        <v>15</v>
      </c>
      <c r="S306" s="21">
        <v>16</v>
      </c>
      <c r="T306" s="21">
        <v>17</v>
      </c>
      <c r="U306" s="21">
        <v>18</v>
      </c>
      <c r="V306" s="21">
        <v>19</v>
      </c>
      <c r="W306" s="21">
        <v>20</v>
      </c>
      <c r="X306" s="21">
        <v>21</v>
      </c>
      <c r="Y306" s="21">
        <v>22</v>
      </c>
      <c r="Z306" s="21">
        <v>23</v>
      </c>
      <c r="AA306" s="21">
        <v>24</v>
      </c>
    </row>
    <row r="307" spans="2:27" outlineLevel="1" x14ac:dyDescent="0.25">
      <c r="B307" s="446" t="s">
        <v>106</v>
      </c>
      <c r="C307" s="447"/>
      <c r="D307" s="447"/>
      <c r="E307" s="447"/>
      <c r="F307" s="447"/>
      <c r="G307" s="447"/>
      <c r="H307" s="447"/>
      <c r="I307" s="447"/>
      <c r="J307" s="447"/>
      <c r="K307" s="447"/>
      <c r="L307" s="447"/>
      <c r="M307" s="447"/>
      <c r="N307" s="447"/>
      <c r="O307" s="447"/>
      <c r="P307" s="447"/>
      <c r="Q307" s="447"/>
      <c r="R307" s="447"/>
      <c r="S307" s="447"/>
      <c r="T307" s="447"/>
      <c r="U307" s="447"/>
      <c r="V307" s="447"/>
      <c r="W307" s="447"/>
      <c r="X307" s="447"/>
      <c r="Y307" s="447"/>
      <c r="Z307" s="447"/>
      <c r="AA307" s="447"/>
    </row>
    <row r="308" spans="2:27" outlineLevel="1" x14ac:dyDescent="0.25">
      <c r="B308" s="3" t="s">
        <v>167</v>
      </c>
      <c r="C308" s="119" t="s">
        <v>47</v>
      </c>
      <c r="D308" s="36">
        <f>Επενδύσεις!D20</f>
        <v>416339.97817200155</v>
      </c>
      <c r="E308" s="36">
        <f>Επενδύσεις!E20</f>
        <v>185333.33333333334</v>
      </c>
      <c r="F308" s="36">
        <f>Επενδύσεις!F20</f>
        <v>31733.333333333336</v>
      </c>
      <c r="G308" s="36">
        <f>Επενδύσεις!G20</f>
        <v>28000</v>
      </c>
      <c r="H308" s="36">
        <f>Επενδύσεις!H20</f>
        <v>18666.666666666668</v>
      </c>
      <c r="I308" s="120"/>
      <c r="J308" s="120"/>
      <c r="K308" s="120"/>
      <c r="L308" s="120"/>
      <c r="M308" s="120"/>
      <c r="N308" s="120"/>
      <c r="O308" s="120"/>
      <c r="P308" s="120"/>
      <c r="Q308" s="120"/>
      <c r="R308" s="120"/>
      <c r="S308" s="120"/>
      <c r="T308" s="120"/>
      <c r="U308" s="120"/>
      <c r="V308" s="120"/>
      <c r="W308" s="120"/>
      <c r="X308" s="120"/>
      <c r="Y308" s="120"/>
      <c r="Z308" s="120"/>
      <c r="AA308" s="120"/>
    </row>
    <row r="309" spans="2:27" outlineLevel="1" x14ac:dyDescent="0.25">
      <c r="B309" s="3" t="s">
        <v>107</v>
      </c>
      <c r="C309" s="119" t="s">
        <v>47</v>
      </c>
      <c r="D309" s="120"/>
      <c r="E309" s="120"/>
      <c r="F309" s="120"/>
      <c r="G309" s="120"/>
      <c r="H309" s="120"/>
      <c r="I309" s="36"/>
      <c r="J309" s="36"/>
      <c r="K309" s="36"/>
      <c r="L309" s="36"/>
      <c r="M309" s="36"/>
      <c r="N309" s="36"/>
      <c r="O309" s="36"/>
      <c r="P309" s="36"/>
      <c r="Q309" s="36"/>
      <c r="R309" s="36"/>
      <c r="S309" s="36"/>
      <c r="T309" s="36"/>
      <c r="U309" s="36"/>
      <c r="V309" s="36"/>
      <c r="W309" s="36"/>
      <c r="X309" s="36"/>
      <c r="Y309" s="36"/>
      <c r="Z309" s="36"/>
      <c r="AA309" s="36"/>
    </row>
    <row r="310" spans="2:27" outlineLevel="1" x14ac:dyDescent="0.25">
      <c r="B310" s="3" t="s">
        <v>108</v>
      </c>
      <c r="C310" s="121" t="s">
        <v>47</v>
      </c>
      <c r="D310" s="36">
        <v>147403.20000000001</v>
      </c>
      <c r="E310" s="36">
        <v>147403.20000000001</v>
      </c>
      <c r="F310" s="36">
        <v>147403.20000000001</v>
      </c>
      <c r="G310" s="36">
        <v>130000</v>
      </c>
      <c r="H310" s="36">
        <f>G310</f>
        <v>130000</v>
      </c>
      <c r="I310" s="36">
        <f>H310</f>
        <v>130000</v>
      </c>
      <c r="J310" s="36">
        <f>I310</f>
        <v>130000</v>
      </c>
      <c r="K310" s="36">
        <f t="shared" ref="K310:AA310" si="351">J310</f>
        <v>130000</v>
      </c>
      <c r="L310" s="36">
        <f t="shared" si="351"/>
        <v>130000</v>
      </c>
      <c r="M310" s="36">
        <f t="shared" si="351"/>
        <v>130000</v>
      </c>
      <c r="N310" s="36">
        <f t="shared" si="351"/>
        <v>130000</v>
      </c>
      <c r="O310" s="36">
        <f t="shared" si="351"/>
        <v>130000</v>
      </c>
      <c r="P310" s="36">
        <f t="shared" si="351"/>
        <v>130000</v>
      </c>
      <c r="Q310" s="36">
        <f t="shared" si="351"/>
        <v>130000</v>
      </c>
      <c r="R310" s="36">
        <f t="shared" si="351"/>
        <v>130000</v>
      </c>
      <c r="S310" s="36">
        <f t="shared" si="351"/>
        <v>130000</v>
      </c>
      <c r="T310" s="36">
        <f t="shared" si="351"/>
        <v>130000</v>
      </c>
      <c r="U310" s="36">
        <f t="shared" si="351"/>
        <v>130000</v>
      </c>
      <c r="V310" s="36">
        <f t="shared" si="351"/>
        <v>130000</v>
      </c>
      <c r="W310" s="36">
        <f t="shared" si="351"/>
        <v>130000</v>
      </c>
      <c r="X310" s="36">
        <f t="shared" si="351"/>
        <v>130000</v>
      </c>
      <c r="Y310" s="36">
        <f t="shared" si="351"/>
        <v>130000</v>
      </c>
      <c r="Z310" s="36">
        <f t="shared" si="351"/>
        <v>130000</v>
      </c>
      <c r="AA310" s="36">
        <f t="shared" si="351"/>
        <v>130000</v>
      </c>
    </row>
    <row r="311" spans="2:27" outlineLevel="1" x14ac:dyDescent="0.25">
      <c r="B311" s="122" t="s">
        <v>109</v>
      </c>
      <c r="C311" s="121" t="s">
        <v>47</v>
      </c>
      <c r="D311" s="240">
        <f>D308+D310</f>
        <v>563743.17817200162</v>
      </c>
      <c r="E311" s="240">
        <f>E308+E310</f>
        <v>332736.53333333333</v>
      </c>
      <c r="F311" s="240">
        <f>F308+F310</f>
        <v>179136.53333333335</v>
      </c>
      <c r="G311" s="240">
        <f>G308+G310</f>
        <v>158000</v>
      </c>
      <c r="H311" s="240">
        <f>H308+H310</f>
        <v>148666.66666666666</v>
      </c>
      <c r="I311" s="240">
        <f>I309+I310</f>
        <v>130000</v>
      </c>
      <c r="J311" s="240">
        <f t="shared" ref="J311:AA311" si="352">J309+J310</f>
        <v>130000</v>
      </c>
      <c r="K311" s="240">
        <f t="shared" si="352"/>
        <v>130000</v>
      </c>
      <c r="L311" s="240">
        <f t="shared" si="352"/>
        <v>130000</v>
      </c>
      <c r="M311" s="240">
        <f t="shared" si="352"/>
        <v>130000</v>
      </c>
      <c r="N311" s="240">
        <f t="shared" si="352"/>
        <v>130000</v>
      </c>
      <c r="O311" s="240">
        <f t="shared" si="352"/>
        <v>130000</v>
      </c>
      <c r="P311" s="240">
        <f t="shared" si="352"/>
        <v>130000</v>
      </c>
      <c r="Q311" s="240">
        <f t="shared" si="352"/>
        <v>130000</v>
      </c>
      <c r="R311" s="240">
        <f t="shared" si="352"/>
        <v>130000</v>
      </c>
      <c r="S311" s="240">
        <f t="shared" si="352"/>
        <v>130000</v>
      </c>
      <c r="T311" s="240">
        <f t="shared" si="352"/>
        <v>130000</v>
      </c>
      <c r="U311" s="240">
        <f t="shared" si="352"/>
        <v>130000</v>
      </c>
      <c r="V311" s="240">
        <f t="shared" si="352"/>
        <v>130000</v>
      </c>
      <c r="W311" s="240">
        <f t="shared" si="352"/>
        <v>130000</v>
      </c>
      <c r="X311" s="240">
        <f t="shared" si="352"/>
        <v>130000</v>
      </c>
      <c r="Y311" s="240">
        <f t="shared" si="352"/>
        <v>130000</v>
      </c>
      <c r="Z311" s="240">
        <f t="shared" si="352"/>
        <v>130000</v>
      </c>
      <c r="AA311" s="240">
        <f t="shared" si="352"/>
        <v>130000</v>
      </c>
    </row>
    <row r="312" spans="2:27" outlineLevel="1" x14ac:dyDescent="0.25">
      <c r="B312" s="17" t="s">
        <v>110</v>
      </c>
    </row>
    <row r="313" spans="2:27" outlineLevel="1" x14ac:dyDescent="0.25">
      <c r="B313" s="17" t="s">
        <v>111</v>
      </c>
    </row>
    <row r="314" spans="2:27" outlineLevel="1" x14ac:dyDescent="0.25">
      <c r="B314" s="446" t="s">
        <v>112</v>
      </c>
      <c r="C314" s="447"/>
      <c r="D314" s="447"/>
      <c r="E314" s="447"/>
      <c r="F314" s="447"/>
      <c r="G314" s="447"/>
      <c r="H314" s="447"/>
      <c r="I314" s="447"/>
      <c r="J314" s="447"/>
      <c r="K314" s="447"/>
      <c r="L314" s="447"/>
      <c r="M314" s="447"/>
      <c r="N314" s="447"/>
      <c r="O314" s="447"/>
      <c r="P314" s="447"/>
      <c r="Q314" s="447"/>
      <c r="R314" s="447"/>
      <c r="S314" s="447"/>
      <c r="T314" s="447"/>
      <c r="U314" s="447"/>
      <c r="V314" s="447"/>
      <c r="W314" s="447"/>
      <c r="X314" s="447"/>
      <c r="Y314" s="447"/>
      <c r="Z314" s="447"/>
      <c r="AA314" s="447"/>
    </row>
    <row r="315" spans="2:27" outlineLevel="1" x14ac:dyDescent="0.25">
      <c r="B315" s="123" t="s">
        <v>113</v>
      </c>
      <c r="C315" s="119" t="s">
        <v>26</v>
      </c>
      <c r="D315" s="36">
        <f>'Διανεμόμενες ποσότητες αερίου'!T23</f>
        <v>22669</v>
      </c>
      <c r="E315" s="36">
        <f>'Διανεμόμενες ποσότητες αερίου'!Z23</f>
        <v>26954</v>
      </c>
      <c r="F315" s="36">
        <f>'Διανεμόμενες ποσότητες αερίου'!AF23</f>
        <v>28079</v>
      </c>
      <c r="G315" s="36">
        <f>'Διανεμόμενες ποσότητες αερίου'!AL23</f>
        <v>28829</v>
      </c>
      <c r="H315" s="36">
        <f>'Διανεμόμενες ποσότητες αερίου'!AR23</f>
        <v>29329</v>
      </c>
      <c r="I315" s="36">
        <f>H315*1.01</f>
        <v>29622.29</v>
      </c>
      <c r="J315" s="36">
        <f t="shared" ref="J315:AA315" si="353">I315*1.01</f>
        <v>29918.512900000002</v>
      </c>
      <c r="K315" s="36">
        <f t="shared" si="353"/>
        <v>30217.698029000003</v>
      </c>
      <c r="L315" s="36">
        <f t="shared" si="353"/>
        <v>30519.875009290005</v>
      </c>
      <c r="M315" s="36">
        <f t="shared" si="353"/>
        <v>30825.073759382904</v>
      </c>
      <c r="N315" s="36">
        <f t="shared" si="353"/>
        <v>31133.324496976733</v>
      </c>
      <c r="O315" s="36">
        <f t="shared" si="353"/>
        <v>31444.657741946499</v>
      </c>
      <c r="P315" s="36">
        <f t="shared" si="353"/>
        <v>31759.104319365964</v>
      </c>
      <c r="Q315" s="36">
        <f t="shared" si="353"/>
        <v>32076.695362559625</v>
      </c>
      <c r="R315" s="36">
        <f t="shared" si="353"/>
        <v>32397.462316185221</v>
      </c>
      <c r="S315" s="36">
        <f t="shared" si="353"/>
        <v>32721.436939347073</v>
      </c>
      <c r="T315" s="36">
        <f t="shared" si="353"/>
        <v>33048.651308740547</v>
      </c>
      <c r="U315" s="36">
        <f t="shared" si="353"/>
        <v>33379.13782182795</v>
      </c>
      <c r="V315" s="36">
        <f t="shared" si="353"/>
        <v>33712.92920004623</v>
      </c>
      <c r="W315" s="36">
        <f t="shared" si="353"/>
        <v>34050.058492046694</v>
      </c>
      <c r="X315" s="36">
        <f t="shared" si="353"/>
        <v>34390.559076967162</v>
      </c>
      <c r="Y315" s="36">
        <f t="shared" si="353"/>
        <v>34734.464667736836</v>
      </c>
      <c r="Z315" s="36">
        <f t="shared" si="353"/>
        <v>35081.809314414204</v>
      </c>
      <c r="AA315" s="36">
        <f t="shared" si="353"/>
        <v>35432.62740755835</v>
      </c>
    </row>
    <row r="316" spans="2:27" outlineLevel="1" x14ac:dyDescent="0.25">
      <c r="B316" s="123" t="s">
        <v>114</v>
      </c>
      <c r="C316" s="121" t="s">
        <v>47</v>
      </c>
      <c r="D316" s="180">
        <f t="shared" ref="D316:AA316" si="354">D315*$D$12</f>
        <v>158683</v>
      </c>
      <c r="E316" s="180">
        <f t="shared" si="354"/>
        <v>188678</v>
      </c>
      <c r="F316" s="180">
        <f t="shared" si="354"/>
        <v>196553</v>
      </c>
      <c r="G316" s="180">
        <f t="shared" si="354"/>
        <v>201803</v>
      </c>
      <c r="H316" s="180">
        <f t="shared" si="354"/>
        <v>205303</v>
      </c>
      <c r="I316" s="180">
        <f t="shared" si="354"/>
        <v>207356.03</v>
      </c>
      <c r="J316" s="180">
        <f t="shared" si="354"/>
        <v>209429.59030000001</v>
      </c>
      <c r="K316" s="180">
        <f t="shared" si="354"/>
        <v>211523.88620300003</v>
      </c>
      <c r="L316" s="180">
        <f t="shared" si="354"/>
        <v>213639.12506503004</v>
      </c>
      <c r="M316" s="180">
        <f t="shared" si="354"/>
        <v>215775.51631568032</v>
      </c>
      <c r="N316" s="180">
        <f t="shared" si="354"/>
        <v>217933.27147883712</v>
      </c>
      <c r="O316" s="180">
        <f t="shared" si="354"/>
        <v>220112.60419362551</v>
      </c>
      <c r="P316" s="180">
        <f t="shared" si="354"/>
        <v>222313.73023556176</v>
      </c>
      <c r="Q316" s="180">
        <f t="shared" si="354"/>
        <v>224536.86753791737</v>
      </c>
      <c r="R316" s="180">
        <f t="shared" si="354"/>
        <v>226782.23621329654</v>
      </c>
      <c r="S316" s="180">
        <f t="shared" si="354"/>
        <v>229050.05857542952</v>
      </c>
      <c r="T316" s="180">
        <f t="shared" si="354"/>
        <v>231340.55916118383</v>
      </c>
      <c r="U316" s="180">
        <f t="shared" si="354"/>
        <v>233653.96475279564</v>
      </c>
      <c r="V316" s="180">
        <f t="shared" si="354"/>
        <v>235990.50440032361</v>
      </c>
      <c r="W316" s="180">
        <f t="shared" si="354"/>
        <v>238350.40944432686</v>
      </c>
      <c r="X316" s="180">
        <f t="shared" si="354"/>
        <v>240733.91353877014</v>
      </c>
      <c r="Y316" s="180">
        <f t="shared" si="354"/>
        <v>243141.25267415785</v>
      </c>
      <c r="Z316" s="180">
        <f t="shared" si="354"/>
        <v>245572.66520089941</v>
      </c>
      <c r="AA316" s="180">
        <f t="shared" si="354"/>
        <v>248028.39185290845</v>
      </c>
    </row>
    <row r="317" spans="2:27" outlineLevel="1" x14ac:dyDescent="0.25">
      <c r="B317" s="122" t="s">
        <v>115</v>
      </c>
      <c r="C317" s="121" t="s">
        <v>47</v>
      </c>
      <c r="D317" s="240">
        <f>D316</f>
        <v>158683</v>
      </c>
      <c r="E317" s="240">
        <f t="shared" ref="E317:G317" si="355">E316</f>
        <v>188678</v>
      </c>
      <c r="F317" s="240">
        <f t="shared" si="355"/>
        <v>196553</v>
      </c>
      <c r="G317" s="240">
        <f t="shared" si="355"/>
        <v>201803</v>
      </c>
      <c r="H317" s="240">
        <f>H316</f>
        <v>205303</v>
      </c>
      <c r="I317" s="240">
        <f t="shared" ref="I317:AA317" si="356">I316</f>
        <v>207356.03</v>
      </c>
      <c r="J317" s="240">
        <f t="shared" si="356"/>
        <v>209429.59030000001</v>
      </c>
      <c r="K317" s="240">
        <f t="shared" si="356"/>
        <v>211523.88620300003</v>
      </c>
      <c r="L317" s="240">
        <f t="shared" si="356"/>
        <v>213639.12506503004</v>
      </c>
      <c r="M317" s="240">
        <f t="shared" si="356"/>
        <v>215775.51631568032</v>
      </c>
      <c r="N317" s="240">
        <f t="shared" si="356"/>
        <v>217933.27147883712</v>
      </c>
      <c r="O317" s="240">
        <f t="shared" si="356"/>
        <v>220112.60419362551</v>
      </c>
      <c r="P317" s="240">
        <f t="shared" si="356"/>
        <v>222313.73023556176</v>
      </c>
      <c r="Q317" s="240">
        <f t="shared" si="356"/>
        <v>224536.86753791737</v>
      </c>
      <c r="R317" s="240">
        <f t="shared" si="356"/>
        <v>226782.23621329654</v>
      </c>
      <c r="S317" s="240">
        <f t="shared" si="356"/>
        <v>229050.05857542952</v>
      </c>
      <c r="T317" s="240">
        <f t="shared" si="356"/>
        <v>231340.55916118383</v>
      </c>
      <c r="U317" s="240">
        <f t="shared" si="356"/>
        <v>233653.96475279564</v>
      </c>
      <c r="V317" s="240">
        <f t="shared" si="356"/>
        <v>235990.50440032361</v>
      </c>
      <c r="W317" s="240">
        <f t="shared" si="356"/>
        <v>238350.40944432686</v>
      </c>
      <c r="X317" s="240">
        <f t="shared" si="356"/>
        <v>240733.91353877014</v>
      </c>
      <c r="Y317" s="240">
        <f t="shared" si="356"/>
        <v>243141.25267415785</v>
      </c>
      <c r="Z317" s="240">
        <f t="shared" si="356"/>
        <v>245572.66520089941</v>
      </c>
      <c r="AA317" s="240">
        <f t="shared" si="356"/>
        <v>248028.39185290845</v>
      </c>
    </row>
    <row r="318" spans="2:27" outlineLevel="1" x14ac:dyDescent="0.25">
      <c r="B318" s="124" t="s">
        <v>116</v>
      </c>
    </row>
    <row r="319" spans="2:27" outlineLevel="1" x14ac:dyDescent="0.25">
      <c r="B319" s="3" t="s">
        <v>117</v>
      </c>
      <c r="C319" s="125" t="s">
        <v>47</v>
      </c>
      <c r="D319" s="181">
        <f>D317-D311</f>
        <v>-405060.17817200162</v>
      </c>
      <c r="E319" s="181">
        <f t="shared" ref="E319:AA319" si="357">E317-E311</f>
        <v>-144058.53333333333</v>
      </c>
      <c r="F319" s="181">
        <f t="shared" si="357"/>
        <v>17416.466666666645</v>
      </c>
      <c r="G319" s="181">
        <f t="shared" si="357"/>
        <v>43803</v>
      </c>
      <c r="H319" s="181">
        <f t="shared" si="357"/>
        <v>56636.333333333343</v>
      </c>
      <c r="I319" s="181">
        <f t="shared" si="357"/>
        <v>77356.03</v>
      </c>
      <c r="J319" s="181">
        <f t="shared" si="357"/>
        <v>79429.590300000011</v>
      </c>
      <c r="K319" s="181">
        <f t="shared" si="357"/>
        <v>81523.886203000031</v>
      </c>
      <c r="L319" s="181">
        <f t="shared" si="357"/>
        <v>83639.125065030035</v>
      </c>
      <c r="M319" s="181">
        <f t="shared" si="357"/>
        <v>85775.516315680317</v>
      </c>
      <c r="N319" s="181">
        <f t="shared" si="357"/>
        <v>87933.271478837123</v>
      </c>
      <c r="O319" s="181">
        <f t="shared" si="357"/>
        <v>90112.604193625506</v>
      </c>
      <c r="P319" s="181">
        <f t="shared" si="357"/>
        <v>92313.730235561758</v>
      </c>
      <c r="Q319" s="181">
        <f t="shared" si="357"/>
        <v>94536.867537917366</v>
      </c>
      <c r="R319" s="181">
        <f t="shared" si="357"/>
        <v>96782.236213296535</v>
      </c>
      <c r="S319" s="181">
        <f t="shared" si="357"/>
        <v>99050.058575429517</v>
      </c>
      <c r="T319" s="181">
        <f t="shared" si="357"/>
        <v>101340.55916118383</v>
      </c>
      <c r="U319" s="181">
        <f t="shared" si="357"/>
        <v>103653.96475279564</v>
      </c>
      <c r="V319" s="181">
        <f t="shared" si="357"/>
        <v>105990.50440032361</v>
      </c>
      <c r="W319" s="181">
        <f t="shared" si="357"/>
        <v>108350.40944432686</v>
      </c>
      <c r="X319" s="181">
        <f t="shared" si="357"/>
        <v>110733.91353877014</v>
      </c>
      <c r="Y319" s="181">
        <f t="shared" si="357"/>
        <v>113141.25267415785</v>
      </c>
      <c r="Z319" s="181">
        <f t="shared" si="357"/>
        <v>115572.66520089941</v>
      </c>
      <c r="AA319" s="181">
        <f t="shared" si="357"/>
        <v>118028.39185290845</v>
      </c>
    </row>
    <row r="320" spans="2:27" outlineLevel="1" x14ac:dyDescent="0.25">
      <c r="B320" s="3" t="s">
        <v>69</v>
      </c>
      <c r="C320" s="125" t="s">
        <v>47</v>
      </c>
      <c r="D320" s="181">
        <f>D319*1/(1+D299)</f>
        <v>-378454.80535550928</v>
      </c>
      <c r="E320" s="181">
        <f>E319*1/(1+E299)*(1/(1+D299))</f>
        <v>-125755.77500895955</v>
      </c>
      <c r="F320" s="181">
        <f>F319*1/(1+F299)*(1/(1+E299))*(1/(1+D299))</f>
        <v>14205.073220238462</v>
      </c>
      <c r="G320" s="181">
        <f>G319*1/(1+G299)*(1/(1+F299)*(1/(1+E299))*(1/(1+D299)))</f>
        <v>33379.648107260356</v>
      </c>
      <c r="H320" s="181">
        <f>H319*1/(1+$H$11)*(1/(1+$G$11)*(1/(1+$F$11)*(1/(1+$E$11))*(1/(1+$D$11))))</f>
        <v>40324.361736564861</v>
      </c>
      <c r="I320" s="181">
        <f t="shared" ref="I320:AA320" si="358">I319*(1/((1+$H$11)^(I306-$G$18))*(1/(1+$G$11)*(1/(1+$F$11)*(1/(1+$E$11))*((1/(1+$D$11))))))</f>
        <v>51458.961877765905</v>
      </c>
      <c r="J320" s="181">
        <f t="shared" si="358"/>
        <v>49367.785277059636</v>
      </c>
      <c r="K320" s="181">
        <f t="shared" si="358"/>
        <v>47341.353536255185</v>
      </c>
      <c r="L320" s="181">
        <f t="shared" si="358"/>
        <v>45379.504786922444</v>
      </c>
      <c r="M320" s="181">
        <f t="shared" si="358"/>
        <v>43481.85732311492</v>
      </c>
      <c r="N320" s="181">
        <f t="shared" si="358"/>
        <v>41647.837025348788</v>
      </c>
      <c r="O320" s="181">
        <f t="shared" si="358"/>
        <v>39876.702251767871</v>
      </c>
      <c r="P320" s="181">
        <f t="shared" si="358"/>
        <v>38167.56640407048</v>
      </c>
      <c r="Q320" s="181">
        <f t="shared" si="358"/>
        <v>36519.41835981817</v>
      </c>
      <c r="R320" s="181">
        <f t="shared" si="358"/>
        <v>34931.140947968772</v>
      </c>
      <c r="S320" s="181">
        <f t="shared" si="358"/>
        <v>33401.527630793324</v>
      </c>
      <c r="T320" s="181">
        <f t="shared" si="358"/>
        <v>31929.29754266829</v>
      </c>
      <c r="U320" s="181">
        <f t="shared" si="358"/>
        <v>30513.10902450878</v>
      </c>
      <c r="V320" s="181">
        <f t="shared" si="358"/>
        <v>29151.571781756054</v>
      </c>
      <c r="W320" s="181">
        <f t="shared" si="358"/>
        <v>27843.257783791494</v>
      </c>
      <c r="X320" s="181">
        <f t="shared" si="358"/>
        <v>26586.711013359956</v>
      </c>
      <c r="Y320" s="181">
        <f t="shared" si="358"/>
        <v>25380.456165992913</v>
      </c>
      <c r="Z320" s="181">
        <f t="shared" si="358"/>
        <v>24223.006391476618</v>
      </c>
      <c r="AA320" s="181">
        <f t="shared" si="358"/>
        <v>23112.870162064486</v>
      </c>
    </row>
    <row r="321" spans="2:27" outlineLevel="1" x14ac:dyDescent="0.25">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outlineLevel="1" x14ac:dyDescent="0.25">
      <c r="B322" s="42" t="s">
        <v>168</v>
      </c>
      <c r="C322" s="126" t="s">
        <v>47</v>
      </c>
      <c r="D322" s="127">
        <f>SUM(D320:AA320)</f>
        <v>264012.43798609887</v>
      </c>
      <c r="E322" s="40"/>
      <c r="F322" s="40"/>
      <c r="G322" s="40"/>
      <c r="H322" s="40"/>
    </row>
    <row r="323" spans="2:27" ht="4.9000000000000004" customHeight="1" outlineLevel="1" x14ac:dyDescent="0.25"/>
    <row r="324" spans="2:27" outlineLevel="1" x14ac:dyDescent="0.25">
      <c r="B324" s="42" t="s">
        <v>118</v>
      </c>
      <c r="C324" s="42"/>
      <c r="D324" s="241">
        <f>IFERROR(IRR(D319:AA319),0)</f>
        <v>0.11324828166506262</v>
      </c>
    </row>
    <row r="325" spans="2:27" ht="4.9000000000000004" customHeight="1" outlineLevel="1" x14ac:dyDescent="0.25"/>
    <row r="326" spans="2:27" outlineLevel="1" x14ac:dyDescent="0.25">
      <c r="B326" s="42" t="s">
        <v>119</v>
      </c>
    </row>
    <row r="327" spans="2:27" outlineLevel="1" x14ac:dyDescent="0.25">
      <c r="B327" s="3" t="s">
        <v>68</v>
      </c>
      <c r="C327" s="39"/>
      <c r="D327" s="21">
        <v>1</v>
      </c>
      <c r="E327" s="21">
        <v>2</v>
      </c>
      <c r="F327" s="21">
        <v>3</v>
      </c>
      <c r="G327" s="21">
        <v>4</v>
      </c>
      <c r="H327" s="21">
        <v>5</v>
      </c>
      <c r="I327" s="21">
        <v>6</v>
      </c>
      <c r="J327" s="21">
        <v>7</v>
      </c>
      <c r="K327" s="21">
        <v>8</v>
      </c>
      <c r="L327" s="21">
        <v>9</v>
      </c>
      <c r="M327" s="21">
        <v>10</v>
      </c>
      <c r="N327" s="21">
        <v>11</v>
      </c>
      <c r="O327" s="21">
        <v>12</v>
      </c>
      <c r="P327" s="21">
        <v>13</v>
      </c>
      <c r="Q327" s="21">
        <v>14</v>
      </c>
      <c r="R327" s="21">
        <v>15</v>
      </c>
      <c r="S327" s="21">
        <v>16</v>
      </c>
      <c r="T327" s="21">
        <v>17</v>
      </c>
      <c r="U327" s="21">
        <v>18</v>
      </c>
      <c r="V327" s="21">
        <v>19</v>
      </c>
      <c r="W327" s="21">
        <v>20</v>
      </c>
      <c r="X327" s="21">
        <v>21</v>
      </c>
      <c r="Y327" s="21">
        <v>22</v>
      </c>
      <c r="Z327" s="21">
        <v>23</v>
      </c>
      <c r="AA327" s="21">
        <v>24</v>
      </c>
    </row>
    <row r="328" spans="2:27" outlineLevel="1" x14ac:dyDescent="0.25">
      <c r="B328" s="3" t="s">
        <v>117</v>
      </c>
      <c r="C328" s="125" t="s">
        <v>47</v>
      </c>
      <c r="D328" s="180">
        <f>D319</f>
        <v>-405060.17817200162</v>
      </c>
      <c r="E328" s="180">
        <f>E319</f>
        <v>-144058.53333333333</v>
      </c>
      <c r="F328" s="180">
        <f t="shared" ref="F328:AA328" si="359">F319</f>
        <v>17416.466666666645</v>
      </c>
      <c r="G328" s="180">
        <f t="shared" si="359"/>
        <v>43803</v>
      </c>
      <c r="H328" s="180">
        <f t="shared" si="359"/>
        <v>56636.333333333343</v>
      </c>
      <c r="I328" s="180">
        <f t="shared" si="359"/>
        <v>77356.03</v>
      </c>
      <c r="J328" s="180">
        <f t="shared" si="359"/>
        <v>79429.590300000011</v>
      </c>
      <c r="K328" s="180">
        <f t="shared" si="359"/>
        <v>81523.886203000031</v>
      </c>
      <c r="L328" s="180">
        <f t="shared" si="359"/>
        <v>83639.125065030035</v>
      </c>
      <c r="M328" s="180">
        <f t="shared" si="359"/>
        <v>85775.516315680317</v>
      </c>
      <c r="N328" s="180">
        <f t="shared" si="359"/>
        <v>87933.271478837123</v>
      </c>
      <c r="O328" s="180">
        <f t="shared" si="359"/>
        <v>90112.604193625506</v>
      </c>
      <c r="P328" s="180">
        <f t="shared" si="359"/>
        <v>92313.730235561758</v>
      </c>
      <c r="Q328" s="180">
        <f t="shared" si="359"/>
        <v>94536.867537917366</v>
      </c>
      <c r="R328" s="180">
        <f t="shared" si="359"/>
        <v>96782.236213296535</v>
      </c>
      <c r="S328" s="180">
        <f t="shared" si="359"/>
        <v>99050.058575429517</v>
      </c>
      <c r="T328" s="180">
        <f t="shared" si="359"/>
        <v>101340.55916118383</v>
      </c>
      <c r="U328" s="180">
        <f t="shared" si="359"/>
        <v>103653.96475279564</v>
      </c>
      <c r="V328" s="180">
        <f t="shared" si="359"/>
        <v>105990.50440032361</v>
      </c>
      <c r="W328" s="180">
        <f t="shared" si="359"/>
        <v>108350.40944432686</v>
      </c>
      <c r="X328" s="180">
        <f t="shared" si="359"/>
        <v>110733.91353877014</v>
      </c>
      <c r="Y328" s="180">
        <f t="shared" si="359"/>
        <v>113141.25267415785</v>
      </c>
      <c r="Z328" s="180">
        <f t="shared" si="359"/>
        <v>115572.66520089941</v>
      </c>
      <c r="AA328" s="180">
        <f t="shared" si="359"/>
        <v>118028.39185290845</v>
      </c>
    </row>
    <row r="329" spans="2:27" outlineLevel="1" x14ac:dyDescent="0.25">
      <c r="B329" s="128" t="s">
        <v>120</v>
      </c>
      <c r="C329" s="129" t="s">
        <v>47</v>
      </c>
      <c r="D329" s="242">
        <f>D308*1/(1+D299)</f>
        <v>388993.71967859624</v>
      </c>
      <c r="E329" s="242">
        <f>E308*1/(1+E299)*(1/(1+D299))</f>
        <v>161786.57681040192</v>
      </c>
      <c r="F329" s="242">
        <f>F308*1/(1+F299)*(1/(1+E299))*(1/(1+D299))</f>
        <v>25882.076551437978</v>
      </c>
      <c r="G329" s="242">
        <f>G308*1/(1+G299)*(1/(1+F299)*(1/(1+E299))*(1/(1+D299)))</f>
        <v>21337.126384112733</v>
      </c>
      <c r="H329" s="242">
        <f>H308*1/(1+$H$11)*(1/(1+$G$11)*(1/(1+$F$11)*(1/(1+$E$11))*(1/(1+$D$11))))</f>
        <v>13290.433451127556</v>
      </c>
    </row>
    <row r="330" spans="2:27" outlineLevel="1" x14ac:dyDescent="0.25">
      <c r="B330" s="3" t="s">
        <v>121</v>
      </c>
      <c r="C330" s="125" t="s">
        <v>47</v>
      </c>
      <c r="D330" s="181">
        <f>D328-D329</f>
        <v>-794053.89785059786</v>
      </c>
      <c r="E330" s="181">
        <f>D330+E328-E329</f>
        <v>-1099899.007994333</v>
      </c>
      <c r="F330" s="181">
        <f>E330+F328-F329</f>
        <v>-1108364.6178791046</v>
      </c>
      <c r="G330" s="181">
        <f>F330+G328-G329</f>
        <v>-1085898.7442632173</v>
      </c>
      <c r="H330" s="181">
        <f>G330+H328-H329</f>
        <v>-1042552.8443810116</v>
      </c>
      <c r="I330" s="181">
        <f t="shared" ref="I330" si="360">H330+I328</f>
        <v>-965196.81438101153</v>
      </c>
      <c r="J330" s="181">
        <f t="shared" ref="J330" si="361">I330+J328</f>
        <v>-885767.22408101149</v>
      </c>
      <c r="K330" s="181">
        <f t="shared" ref="K330" si="362">J330+K328</f>
        <v>-804243.3378780114</v>
      </c>
      <c r="L330" s="181">
        <f t="shared" ref="L330" si="363">K330+L328</f>
        <v>-720604.21281298134</v>
      </c>
      <c r="M330" s="181">
        <f t="shared" ref="M330" si="364">L330+M328</f>
        <v>-634828.69649730099</v>
      </c>
      <c r="N330" s="181">
        <f t="shared" ref="N330" si="365">M330+N328</f>
        <v>-546895.42501846387</v>
      </c>
      <c r="O330" s="181">
        <f t="shared" ref="O330" si="366">N330+O328</f>
        <v>-456782.82082483836</v>
      </c>
      <c r="P330" s="181">
        <f t="shared" ref="P330" si="367">O330+P328</f>
        <v>-364469.09058927663</v>
      </c>
      <c r="Q330" s="181">
        <f t="shared" ref="Q330" si="368">P330+Q328</f>
        <v>-269932.22305135929</v>
      </c>
      <c r="R330" s="181">
        <f t="shared" ref="R330" si="369">Q330+R328</f>
        <v>-173149.98683806276</v>
      </c>
      <c r="S330" s="181">
        <f t="shared" ref="S330" si="370">R330+S328</f>
        <v>-74099.928262633242</v>
      </c>
      <c r="T330" s="181">
        <f t="shared" ref="T330" si="371">S330+T328</f>
        <v>27240.630898550589</v>
      </c>
      <c r="U330" s="181">
        <f t="shared" ref="U330" si="372">T330+U328</f>
        <v>130894.59565134623</v>
      </c>
      <c r="V330" s="181">
        <f t="shared" ref="V330" si="373">U330+V328</f>
        <v>236885.10005166984</v>
      </c>
      <c r="W330" s="181">
        <f t="shared" ref="W330" si="374">V330+W328</f>
        <v>345235.5094959967</v>
      </c>
      <c r="X330" s="181">
        <f t="shared" ref="X330" si="375">W330+X328</f>
        <v>455969.42303476681</v>
      </c>
      <c r="Y330" s="181">
        <f t="shared" ref="Y330" si="376">X330+Y328</f>
        <v>569110.67570892465</v>
      </c>
      <c r="Z330" s="181">
        <f t="shared" ref="Z330" si="377">Y330+Z328</f>
        <v>684683.34090982401</v>
      </c>
      <c r="AA330" s="181">
        <f t="shared" ref="AA330" si="378">Z330+AA328</f>
        <v>802711.73276273243</v>
      </c>
    </row>
    <row r="331" spans="2:27" outlineLevel="1" x14ac:dyDescent="0.25">
      <c r="B331" s="130" t="s">
        <v>122</v>
      </c>
    </row>
    <row r="335" spans="2:27" ht="15.75" x14ac:dyDescent="0.25">
      <c r="B335" s="448" t="s">
        <v>310</v>
      </c>
      <c r="C335" s="449"/>
      <c r="D335" s="449"/>
      <c r="E335" s="449"/>
      <c r="F335" s="449"/>
      <c r="G335" s="449"/>
      <c r="H335" s="449"/>
      <c r="I335" s="449"/>
      <c r="J335" s="449"/>
      <c r="K335" s="449"/>
      <c r="L335" s="449"/>
      <c r="M335" s="449"/>
      <c r="N335" s="449"/>
      <c r="O335" s="449"/>
      <c r="P335" s="449"/>
      <c r="Q335" s="449"/>
      <c r="R335" s="449"/>
      <c r="S335" s="449"/>
      <c r="T335" s="449"/>
      <c r="U335" s="449"/>
      <c r="V335" s="449"/>
      <c r="W335" s="449"/>
      <c r="X335" s="449"/>
      <c r="Y335" s="449"/>
      <c r="Z335" s="449"/>
      <c r="AA335" s="449"/>
    </row>
    <row r="336" spans="2:27" ht="15.75" x14ac:dyDescent="0.25">
      <c r="B336" s="116"/>
      <c r="C336" s="116"/>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row>
    <row r="337" spans="2:27" x14ac:dyDescent="0.25">
      <c r="B337" s="118" t="s">
        <v>105</v>
      </c>
      <c r="C337" s="110"/>
    </row>
    <row r="338" spans="2:27" x14ac:dyDescent="0.25">
      <c r="B338" s="3"/>
      <c r="C338" s="27" t="s">
        <v>20</v>
      </c>
      <c r="D338" s="27">
        <f>$C$3</f>
        <v>2023</v>
      </c>
      <c r="E338" s="27">
        <f>$C$3+1</f>
        <v>2024</v>
      </c>
      <c r="F338" s="27">
        <f>$C$3+2</f>
        <v>2025</v>
      </c>
      <c r="G338" s="27">
        <f>$C$3+3</f>
        <v>2026</v>
      </c>
      <c r="H338" s="27">
        <f>$C$3+4</f>
        <v>2027</v>
      </c>
      <c r="I338" s="27">
        <f>H338+1</f>
        <v>2028</v>
      </c>
      <c r="J338" s="27">
        <f t="shared" ref="J338" si="379">I338+1</f>
        <v>2029</v>
      </c>
      <c r="K338" s="27">
        <f t="shared" ref="K338" si="380">J338+1</f>
        <v>2030</v>
      </c>
      <c r="L338" s="27">
        <f t="shared" ref="L338" si="381">K338+1</f>
        <v>2031</v>
      </c>
      <c r="M338" s="27">
        <f t="shared" ref="M338" si="382">L338+1</f>
        <v>2032</v>
      </c>
      <c r="N338" s="27">
        <f t="shared" ref="N338" si="383">M338+1</f>
        <v>2033</v>
      </c>
      <c r="O338" s="27">
        <f t="shared" ref="O338" si="384">N338+1</f>
        <v>2034</v>
      </c>
      <c r="P338" s="27">
        <f t="shared" ref="P338" si="385">O338+1</f>
        <v>2035</v>
      </c>
      <c r="Q338" s="27">
        <f t="shared" ref="Q338" si="386">P338+1</f>
        <v>2036</v>
      </c>
      <c r="R338" s="27">
        <f t="shared" ref="R338" si="387">Q338+1</f>
        <v>2037</v>
      </c>
      <c r="S338" s="27">
        <f t="shared" ref="S338" si="388">R338+1</f>
        <v>2038</v>
      </c>
      <c r="T338" s="27">
        <f t="shared" ref="T338" si="389">S338+1</f>
        <v>2039</v>
      </c>
      <c r="U338" s="27">
        <f t="shared" ref="U338" si="390">T338+1</f>
        <v>2040</v>
      </c>
      <c r="V338" s="27">
        <f t="shared" ref="V338" si="391">U338+1</f>
        <v>2041</v>
      </c>
      <c r="W338" s="27">
        <f t="shared" ref="W338" si="392">V338+1</f>
        <v>2042</v>
      </c>
      <c r="X338" s="27">
        <f t="shared" ref="X338" si="393">W338+1</f>
        <v>2043</v>
      </c>
      <c r="Y338" s="27">
        <f t="shared" ref="Y338" si="394">X338+1</f>
        <v>2044</v>
      </c>
      <c r="Z338" s="27">
        <f t="shared" ref="Z338" si="395">Y338+1</f>
        <v>2045</v>
      </c>
      <c r="AA338" s="27">
        <f t="shared" ref="AA338" si="396">Z338+1</f>
        <v>2046</v>
      </c>
    </row>
    <row r="339" spans="2:27" x14ac:dyDescent="0.25">
      <c r="B339" s="3" t="s">
        <v>68</v>
      </c>
      <c r="C339" s="39"/>
      <c r="D339" s="21">
        <v>1</v>
      </c>
      <c r="E339" s="21">
        <v>2</v>
      </c>
      <c r="F339" s="21">
        <v>3</v>
      </c>
      <c r="G339" s="21">
        <v>4</v>
      </c>
      <c r="H339" s="21">
        <v>5</v>
      </c>
      <c r="I339" s="21">
        <v>6</v>
      </c>
      <c r="J339" s="21">
        <v>7</v>
      </c>
      <c r="K339" s="21">
        <v>8</v>
      </c>
      <c r="L339" s="21">
        <v>9</v>
      </c>
      <c r="M339" s="21">
        <v>10</v>
      </c>
      <c r="N339" s="21">
        <v>11</v>
      </c>
      <c r="O339" s="21">
        <v>12</v>
      </c>
      <c r="P339" s="21">
        <v>13</v>
      </c>
      <c r="Q339" s="21">
        <v>14</v>
      </c>
      <c r="R339" s="21">
        <v>15</v>
      </c>
      <c r="S339" s="21">
        <v>16</v>
      </c>
      <c r="T339" s="21">
        <v>17</v>
      </c>
      <c r="U339" s="21">
        <v>18</v>
      </c>
      <c r="V339" s="21">
        <v>19</v>
      </c>
      <c r="W339" s="21">
        <v>20</v>
      </c>
      <c r="X339" s="21">
        <v>21</v>
      </c>
      <c r="Y339" s="21">
        <v>22</v>
      </c>
      <c r="Z339" s="21">
        <v>23</v>
      </c>
      <c r="AA339" s="21">
        <v>24</v>
      </c>
    </row>
    <row r="340" spans="2:27" x14ac:dyDescent="0.25">
      <c r="B340" s="446" t="s">
        <v>106</v>
      </c>
      <c r="C340" s="447"/>
      <c r="D340" s="447"/>
      <c r="E340" s="447"/>
      <c r="F340" s="447"/>
      <c r="G340" s="447"/>
      <c r="H340" s="447"/>
      <c r="I340" s="447"/>
      <c r="J340" s="447"/>
      <c r="K340" s="447"/>
      <c r="L340" s="447"/>
      <c r="M340" s="447"/>
      <c r="N340" s="447"/>
      <c r="O340" s="447"/>
      <c r="P340" s="447"/>
      <c r="Q340" s="447"/>
      <c r="R340" s="447"/>
      <c r="S340" s="447"/>
      <c r="T340" s="447"/>
      <c r="U340" s="447"/>
      <c r="V340" s="447"/>
      <c r="W340" s="447"/>
      <c r="X340" s="447"/>
      <c r="Y340" s="447"/>
      <c r="Z340" s="447"/>
      <c r="AA340" s="447"/>
    </row>
    <row r="341" spans="2:27" x14ac:dyDescent="0.25">
      <c r="B341" s="3" t="s">
        <v>167</v>
      </c>
      <c r="C341" s="119" t="s">
        <v>47</v>
      </c>
      <c r="D341" s="36">
        <f>(Επενδύσεις!D21)*0.5</f>
        <v>364864.23094444443</v>
      </c>
      <c r="E341" s="36">
        <f>(Επενδύσεις!E21)*0.5</f>
        <v>176277.41452991453</v>
      </c>
      <c r="F341" s="36">
        <f>(Επενδύσεις!F21)*0.5</f>
        <v>160998.41880341881</v>
      </c>
      <c r="G341" s="36">
        <f>(Επενδύσεις!G21)*0.5</f>
        <v>66432.179487179485</v>
      </c>
      <c r="H341" s="36">
        <f>(Επενδύσεις!H21)*0.5</f>
        <v>61099.529914529914</v>
      </c>
      <c r="I341" s="120"/>
      <c r="J341" s="120"/>
      <c r="K341" s="120"/>
      <c r="L341" s="120"/>
      <c r="M341" s="120"/>
      <c r="N341" s="120"/>
      <c r="O341" s="120"/>
      <c r="P341" s="120"/>
      <c r="Q341" s="120"/>
      <c r="R341" s="120"/>
      <c r="S341" s="120"/>
      <c r="T341" s="120"/>
      <c r="U341" s="120"/>
      <c r="V341" s="120"/>
      <c r="W341" s="120"/>
      <c r="X341" s="120"/>
      <c r="Y341" s="120"/>
      <c r="Z341" s="120"/>
      <c r="AA341" s="120"/>
    </row>
    <row r="342" spans="2:27" x14ac:dyDescent="0.25">
      <c r="B342" s="3" t="s">
        <v>107</v>
      </c>
      <c r="C342" s="119" t="s">
        <v>47</v>
      </c>
      <c r="D342" s="120"/>
      <c r="E342" s="120"/>
      <c r="F342" s="120"/>
      <c r="G342" s="120"/>
      <c r="H342" s="120"/>
      <c r="I342" s="36"/>
      <c r="J342" s="36"/>
      <c r="K342" s="36"/>
      <c r="L342" s="36"/>
      <c r="M342" s="36"/>
      <c r="N342" s="36"/>
      <c r="O342" s="36"/>
      <c r="P342" s="36"/>
      <c r="Q342" s="36"/>
      <c r="R342" s="36"/>
      <c r="S342" s="36"/>
      <c r="T342" s="36"/>
      <c r="U342" s="36"/>
      <c r="V342" s="36"/>
      <c r="W342" s="36"/>
      <c r="X342" s="36"/>
      <c r="Y342" s="36"/>
      <c r="Z342" s="36"/>
      <c r="AA342" s="36"/>
    </row>
    <row r="343" spans="2:27" x14ac:dyDescent="0.25">
      <c r="B343" s="3" t="s">
        <v>108</v>
      </c>
      <c r="C343" s="121" t="s">
        <v>47</v>
      </c>
      <c r="D343" s="36">
        <v>40000</v>
      </c>
      <c r="E343" s="36">
        <v>40000</v>
      </c>
      <c r="F343" s="36">
        <v>40000</v>
      </c>
      <c r="G343" s="36">
        <v>40000</v>
      </c>
      <c r="H343" s="36">
        <v>40000</v>
      </c>
      <c r="I343" s="36">
        <v>40000</v>
      </c>
      <c r="J343" s="36">
        <f>I343</f>
        <v>40000</v>
      </c>
      <c r="K343" s="36">
        <f t="shared" ref="K343" si="397">J343</f>
        <v>40000</v>
      </c>
      <c r="L343" s="36">
        <f t="shared" ref="L343" si="398">K343</f>
        <v>40000</v>
      </c>
      <c r="M343" s="36">
        <f t="shared" ref="M343" si="399">L343</f>
        <v>40000</v>
      </c>
      <c r="N343" s="36">
        <f t="shared" ref="N343" si="400">M343</f>
        <v>40000</v>
      </c>
      <c r="O343" s="36">
        <f t="shared" ref="O343" si="401">N343</f>
        <v>40000</v>
      </c>
      <c r="P343" s="36">
        <f t="shared" ref="P343" si="402">O343</f>
        <v>40000</v>
      </c>
      <c r="Q343" s="36">
        <f t="shared" ref="Q343" si="403">P343</f>
        <v>40000</v>
      </c>
      <c r="R343" s="36">
        <f t="shared" ref="R343" si="404">Q343</f>
        <v>40000</v>
      </c>
      <c r="S343" s="36">
        <f t="shared" ref="S343" si="405">R343</f>
        <v>40000</v>
      </c>
      <c r="T343" s="36">
        <f t="shared" ref="T343" si="406">S343</f>
        <v>40000</v>
      </c>
      <c r="U343" s="36">
        <f t="shared" ref="U343" si="407">T343</f>
        <v>40000</v>
      </c>
      <c r="V343" s="36">
        <f t="shared" ref="V343" si="408">U343</f>
        <v>40000</v>
      </c>
      <c r="W343" s="36">
        <f t="shared" ref="W343" si="409">V343</f>
        <v>40000</v>
      </c>
      <c r="X343" s="36">
        <f t="shared" ref="X343" si="410">W343</f>
        <v>40000</v>
      </c>
      <c r="Y343" s="36">
        <f t="shared" ref="Y343" si="411">X343</f>
        <v>40000</v>
      </c>
      <c r="Z343" s="36">
        <f t="shared" ref="Z343" si="412">Y343</f>
        <v>40000</v>
      </c>
      <c r="AA343" s="36">
        <f t="shared" ref="AA343" si="413">Z343</f>
        <v>40000</v>
      </c>
    </row>
    <row r="344" spans="2:27" x14ac:dyDescent="0.25">
      <c r="B344" s="122" t="s">
        <v>109</v>
      </c>
      <c r="C344" s="121" t="s">
        <v>47</v>
      </c>
      <c r="D344" s="240">
        <f>D341+D343</f>
        <v>404864.23094444443</v>
      </c>
      <c r="E344" s="240">
        <f>E341+E343</f>
        <v>216277.41452991453</v>
      </c>
      <c r="F344" s="240">
        <f>F341+F343</f>
        <v>200998.41880341881</v>
      </c>
      <c r="G344" s="240">
        <f>G341+G343</f>
        <v>106432.17948717948</v>
      </c>
      <c r="H344" s="240">
        <f>H341+H343</f>
        <v>101099.52991452991</v>
      </c>
      <c r="I344" s="240">
        <f>I342+I343</f>
        <v>40000</v>
      </c>
      <c r="J344" s="240">
        <f t="shared" ref="J344:AA344" si="414">J342+J343</f>
        <v>40000</v>
      </c>
      <c r="K344" s="240">
        <f t="shared" si="414"/>
        <v>40000</v>
      </c>
      <c r="L344" s="240">
        <f t="shared" si="414"/>
        <v>40000</v>
      </c>
      <c r="M344" s="240">
        <f t="shared" si="414"/>
        <v>40000</v>
      </c>
      <c r="N344" s="240">
        <f t="shared" si="414"/>
        <v>40000</v>
      </c>
      <c r="O344" s="240">
        <f t="shared" si="414"/>
        <v>40000</v>
      </c>
      <c r="P344" s="240">
        <f t="shared" si="414"/>
        <v>40000</v>
      </c>
      <c r="Q344" s="240">
        <f t="shared" si="414"/>
        <v>40000</v>
      </c>
      <c r="R344" s="240">
        <f t="shared" si="414"/>
        <v>40000</v>
      </c>
      <c r="S344" s="240">
        <f t="shared" si="414"/>
        <v>40000</v>
      </c>
      <c r="T344" s="240">
        <f t="shared" si="414"/>
        <v>40000</v>
      </c>
      <c r="U344" s="240">
        <f t="shared" si="414"/>
        <v>40000</v>
      </c>
      <c r="V344" s="240">
        <f t="shared" si="414"/>
        <v>40000</v>
      </c>
      <c r="W344" s="240">
        <f t="shared" si="414"/>
        <v>40000</v>
      </c>
      <c r="X344" s="240">
        <f t="shared" si="414"/>
        <v>40000</v>
      </c>
      <c r="Y344" s="240">
        <f t="shared" si="414"/>
        <v>40000</v>
      </c>
      <c r="Z344" s="240">
        <f t="shared" si="414"/>
        <v>40000</v>
      </c>
      <c r="AA344" s="240">
        <f t="shared" si="414"/>
        <v>40000</v>
      </c>
    </row>
    <row r="345" spans="2:27" x14ac:dyDescent="0.25">
      <c r="B345" s="17" t="s">
        <v>110</v>
      </c>
    </row>
    <row r="346" spans="2:27" x14ac:dyDescent="0.25">
      <c r="B346" s="17" t="s">
        <v>111</v>
      </c>
    </row>
    <row r="347" spans="2:27" x14ac:dyDescent="0.25">
      <c r="B347" s="446" t="s">
        <v>112</v>
      </c>
      <c r="C347" s="447"/>
      <c r="D347" s="447"/>
      <c r="E347" s="447"/>
      <c r="F347" s="447"/>
      <c r="G347" s="447"/>
      <c r="H347" s="447"/>
      <c r="I347" s="447"/>
      <c r="J347" s="447"/>
      <c r="K347" s="447"/>
      <c r="L347" s="447"/>
      <c r="M347" s="447"/>
      <c r="N347" s="447"/>
      <c r="O347" s="447"/>
      <c r="P347" s="447"/>
      <c r="Q347" s="447"/>
      <c r="R347" s="447"/>
      <c r="S347" s="447"/>
      <c r="T347" s="447"/>
      <c r="U347" s="447"/>
      <c r="V347" s="447"/>
      <c r="W347" s="447"/>
      <c r="X347" s="447"/>
      <c r="Y347" s="447"/>
      <c r="Z347" s="447"/>
      <c r="AA347" s="447"/>
    </row>
    <row r="348" spans="2:27" x14ac:dyDescent="0.25">
      <c r="B348" s="123" t="s">
        <v>113</v>
      </c>
      <c r="C348" s="119" t="s">
        <v>26</v>
      </c>
      <c r="D348" s="36">
        <f>'Διανεμόμενες ποσότητες αερίου'!T24</f>
        <v>1382</v>
      </c>
      <c r="E348" s="36">
        <f>'Διανεμόμενες ποσότητες αερίου'!Z24</f>
        <v>3377</v>
      </c>
      <c r="F348" s="36">
        <f>'Διανεμόμενες ποσότητες αερίου'!AF24</f>
        <v>5557</v>
      </c>
      <c r="G348" s="36">
        <f>'Διανεμόμενες ποσότητες αερίου'!AL24</f>
        <v>6817</v>
      </c>
      <c r="H348" s="36">
        <f>'Διανεμόμενες ποσότητες αερίου'!AR24</f>
        <v>7757</v>
      </c>
      <c r="I348" s="36">
        <f>H348*1.01</f>
        <v>7834.57</v>
      </c>
      <c r="J348" s="36">
        <f t="shared" ref="J348" si="415">I348*1.01</f>
        <v>7912.9156999999996</v>
      </c>
      <c r="K348" s="36">
        <f t="shared" ref="K348" si="416">J348*1.01</f>
        <v>7992.0448569999999</v>
      </c>
      <c r="L348" s="36">
        <f t="shared" ref="L348" si="417">K348*1.01</f>
        <v>8071.9653055700001</v>
      </c>
      <c r="M348" s="36">
        <f t="shared" ref="M348" si="418">L348*1.01</f>
        <v>8152.6849586257003</v>
      </c>
      <c r="N348" s="36">
        <f t="shared" ref="N348" si="419">M348*1.01</f>
        <v>8234.2118082119578</v>
      </c>
      <c r="O348" s="36">
        <f t="shared" ref="O348" si="420">N348*1.01</f>
        <v>8316.5539262940765</v>
      </c>
      <c r="P348" s="36">
        <f t="shared" ref="P348" si="421">O348*1.01</f>
        <v>8399.7194655570165</v>
      </c>
      <c r="Q348" s="36">
        <f t="shared" ref="Q348" si="422">P348*1.01</f>
        <v>8483.7166602125872</v>
      </c>
      <c r="R348" s="36">
        <f t="shared" ref="R348" si="423">Q348*1.01</f>
        <v>8568.5538268147138</v>
      </c>
      <c r="S348" s="36">
        <f t="shared" ref="S348" si="424">R348*1.01</f>
        <v>8654.2393650828617</v>
      </c>
      <c r="T348" s="36">
        <f t="shared" ref="T348" si="425">S348*1.01</f>
        <v>8740.7817587336904</v>
      </c>
      <c r="U348" s="36">
        <f t="shared" ref="U348" si="426">T348*1.01</f>
        <v>8828.1895763210268</v>
      </c>
      <c r="V348" s="36">
        <f t="shared" ref="V348" si="427">U348*1.01</f>
        <v>8916.4714720842367</v>
      </c>
      <c r="W348" s="36">
        <f t="shared" ref="W348" si="428">V348*1.01</f>
        <v>9005.636186805079</v>
      </c>
      <c r="X348" s="36">
        <f t="shared" ref="X348" si="429">W348*1.01</f>
        <v>9095.6925486731307</v>
      </c>
      <c r="Y348" s="36">
        <f t="shared" ref="Y348" si="430">X348*1.01</f>
        <v>9186.6494741598617</v>
      </c>
      <c r="Z348" s="36">
        <f t="shared" ref="Z348" si="431">Y348*1.01</f>
        <v>9278.5159689014599</v>
      </c>
      <c r="AA348" s="36">
        <f t="shared" ref="AA348" si="432">Z348*1.01</f>
        <v>9371.301128590474</v>
      </c>
    </row>
    <row r="349" spans="2:27" x14ac:dyDescent="0.25">
      <c r="B349" s="123" t="s">
        <v>114</v>
      </c>
      <c r="C349" s="121" t="s">
        <v>47</v>
      </c>
      <c r="D349" s="180">
        <f>D348*18</f>
        <v>24876</v>
      </c>
      <c r="E349" s="180">
        <f t="shared" ref="E349:H349" si="433">E348*18</f>
        <v>60786</v>
      </c>
      <c r="F349" s="180">
        <f t="shared" si="433"/>
        <v>100026</v>
      </c>
      <c r="G349" s="180">
        <f t="shared" si="433"/>
        <v>122706</v>
      </c>
      <c r="H349" s="180">
        <f t="shared" si="433"/>
        <v>139626</v>
      </c>
      <c r="I349" s="180">
        <f>I348*17</f>
        <v>133187.69</v>
      </c>
      <c r="J349" s="180">
        <f t="shared" ref="J349:AA349" si="434">J348*17</f>
        <v>134519.56690000001</v>
      </c>
      <c r="K349" s="180">
        <f t="shared" si="434"/>
        <v>135864.76256899998</v>
      </c>
      <c r="L349" s="180">
        <f t="shared" si="434"/>
        <v>137223.41019468999</v>
      </c>
      <c r="M349" s="180">
        <f t="shared" si="434"/>
        <v>138595.64429663689</v>
      </c>
      <c r="N349" s="180">
        <f t="shared" si="434"/>
        <v>139981.60073960328</v>
      </c>
      <c r="O349" s="180">
        <f t="shared" si="434"/>
        <v>141381.41674699931</v>
      </c>
      <c r="P349" s="180">
        <f t="shared" si="434"/>
        <v>142795.23091446928</v>
      </c>
      <c r="Q349" s="180">
        <f t="shared" si="434"/>
        <v>144223.18322361397</v>
      </c>
      <c r="R349" s="180">
        <f t="shared" si="434"/>
        <v>145665.41505585014</v>
      </c>
      <c r="S349" s="180">
        <f t="shared" si="434"/>
        <v>147122.06920640866</v>
      </c>
      <c r="T349" s="180">
        <f t="shared" si="434"/>
        <v>148593.28989847272</v>
      </c>
      <c r="U349" s="180">
        <f t="shared" si="434"/>
        <v>150079.22279745745</v>
      </c>
      <c r="V349" s="180">
        <f t="shared" si="434"/>
        <v>151580.01502543202</v>
      </c>
      <c r="W349" s="180">
        <f t="shared" si="434"/>
        <v>153095.81517568635</v>
      </c>
      <c r="X349" s="180">
        <f t="shared" si="434"/>
        <v>154626.77332744322</v>
      </c>
      <c r="Y349" s="180">
        <f t="shared" si="434"/>
        <v>156173.04106071766</v>
      </c>
      <c r="Z349" s="180">
        <f t="shared" si="434"/>
        <v>157734.77147132481</v>
      </c>
      <c r="AA349" s="180">
        <f t="shared" si="434"/>
        <v>159312.11918603806</v>
      </c>
    </row>
    <row r="350" spans="2:27" x14ac:dyDescent="0.25">
      <c r="B350" s="122" t="s">
        <v>115</v>
      </c>
      <c r="C350" s="121" t="s">
        <v>47</v>
      </c>
      <c r="D350" s="240">
        <f>D349</f>
        <v>24876</v>
      </c>
      <c r="E350" s="240">
        <f t="shared" ref="E350:G350" si="435">E349</f>
        <v>60786</v>
      </c>
      <c r="F350" s="240">
        <f t="shared" si="435"/>
        <v>100026</v>
      </c>
      <c r="G350" s="240">
        <f t="shared" si="435"/>
        <v>122706</v>
      </c>
      <c r="H350" s="240">
        <f>H349</f>
        <v>139626</v>
      </c>
      <c r="I350" s="240">
        <f t="shared" ref="I350:AA350" si="436">I349</f>
        <v>133187.69</v>
      </c>
      <c r="J350" s="240">
        <f t="shared" si="436"/>
        <v>134519.56690000001</v>
      </c>
      <c r="K350" s="240">
        <f t="shared" si="436"/>
        <v>135864.76256899998</v>
      </c>
      <c r="L350" s="240">
        <f t="shared" si="436"/>
        <v>137223.41019468999</v>
      </c>
      <c r="M350" s="240">
        <f t="shared" si="436"/>
        <v>138595.64429663689</v>
      </c>
      <c r="N350" s="240">
        <f t="shared" si="436"/>
        <v>139981.60073960328</v>
      </c>
      <c r="O350" s="240">
        <f t="shared" si="436"/>
        <v>141381.41674699931</v>
      </c>
      <c r="P350" s="240">
        <f t="shared" si="436"/>
        <v>142795.23091446928</v>
      </c>
      <c r="Q350" s="240">
        <f t="shared" si="436"/>
        <v>144223.18322361397</v>
      </c>
      <c r="R350" s="240">
        <f t="shared" si="436"/>
        <v>145665.41505585014</v>
      </c>
      <c r="S350" s="240">
        <f t="shared" si="436"/>
        <v>147122.06920640866</v>
      </c>
      <c r="T350" s="240">
        <f t="shared" si="436"/>
        <v>148593.28989847272</v>
      </c>
      <c r="U350" s="240">
        <f t="shared" si="436"/>
        <v>150079.22279745745</v>
      </c>
      <c r="V350" s="240">
        <f t="shared" si="436"/>
        <v>151580.01502543202</v>
      </c>
      <c r="W350" s="240">
        <f t="shared" si="436"/>
        <v>153095.81517568635</v>
      </c>
      <c r="X350" s="240">
        <f t="shared" si="436"/>
        <v>154626.77332744322</v>
      </c>
      <c r="Y350" s="240">
        <f t="shared" si="436"/>
        <v>156173.04106071766</v>
      </c>
      <c r="Z350" s="240">
        <f t="shared" si="436"/>
        <v>157734.77147132481</v>
      </c>
      <c r="AA350" s="240">
        <f t="shared" si="436"/>
        <v>159312.11918603806</v>
      </c>
    </row>
    <row r="351" spans="2:27" x14ac:dyDescent="0.25">
      <c r="B351" s="124" t="s">
        <v>116</v>
      </c>
    </row>
    <row r="352" spans="2:27" x14ac:dyDescent="0.25">
      <c r="B352" s="3" t="s">
        <v>117</v>
      </c>
      <c r="C352" s="125" t="s">
        <v>47</v>
      </c>
      <c r="D352" s="181">
        <f>D350-D344</f>
        <v>-379988.23094444443</v>
      </c>
      <c r="E352" s="181">
        <f t="shared" ref="E352:AA352" si="437">E350-E344</f>
        <v>-155491.41452991453</v>
      </c>
      <c r="F352" s="181">
        <f t="shared" si="437"/>
        <v>-100972.41880341881</v>
      </c>
      <c r="G352" s="181">
        <f t="shared" si="437"/>
        <v>16273.820512820515</v>
      </c>
      <c r="H352" s="181">
        <f t="shared" si="437"/>
        <v>38526.470085470093</v>
      </c>
      <c r="I352" s="181">
        <f t="shared" si="437"/>
        <v>93187.69</v>
      </c>
      <c r="J352" s="181">
        <f t="shared" si="437"/>
        <v>94519.566900000005</v>
      </c>
      <c r="K352" s="181">
        <f t="shared" si="437"/>
        <v>95864.762568999984</v>
      </c>
      <c r="L352" s="181">
        <f t="shared" si="437"/>
        <v>97223.41019468999</v>
      </c>
      <c r="M352" s="181">
        <f t="shared" si="437"/>
        <v>98595.644296636892</v>
      </c>
      <c r="N352" s="181">
        <f t="shared" si="437"/>
        <v>99981.60073960328</v>
      </c>
      <c r="O352" s="181">
        <f t="shared" si="437"/>
        <v>101381.41674699931</v>
      </c>
      <c r="P352" s="181">
        <f t="shared" si="437"/>
        <v>102795.23091446928</v>
      </c>
      <c r="Q352" s="181">
        <f t="shared" si="437"/>
        <v>104223.18322361397</v>
      </c>
      <c r="R352" s="181">
        <f t="shared" si="437"/>
        <v>105665.41505585014</v>
      </c>
      <c r="S352" s="181">
        <f t="shared" si="437"/>
        <v>107122.06920640866</v>
      </c>
      <c r="T352" s="181">
        <f t="shared" si="437"/>
        <v>108593.28989847272</v>
      </c>
      <c r="U352" s="181">
        <f t="shared" si="437"/>
        <v>110079.22279745745</v>
      </c>
      <c r="V352" s="181">
        <f t="shared" si="437"/>
        <v>111580.01502543202</v>
      </c>
      <c r="W352" s="181">
        <f t="shared" si="437"/>
        <v>113095.81517568635</v>
      </c>
      <c r="X352" s="181">
        <f t="shared" si="437"/>
        <v>114626.77332744322</v>
      </c>
      <c r="Y352" s="181">
        <f t="shared" si="437"/>
        <v>116173.04106071766</v>
      </c>
      <c r="Z352" s="181">
        <f t="shared" si="437"/>
        <v>117734.77147132481</v>
      </c>
      <c r="AA352" s="181">
        <f t="shared" si="437"/>
        <v>119312.11918603806</v>
      </c>
    </row>
    <row r="353" spans="2:27" x14ac:dyDescent="0.25">
      <c r="B353" s="3" t="s">
        <v>69</v>
      </c>
      <c r="C353" s="125" t="s">
        <v>47</v>
      </c>
      <c r="D353" s="181">
        <f>D352*1/(1+D333)</f>
        <v>-379988.23094444443</v>
      </c>
      <c r="E353" s="181">
        <f>E352*1/(1+E333)*(1/(1+D333))</f>
        <v>-155491.41452991453</v>
      </c>
      <c r="F353" s="181">
        <f>F352*1/(1+F333)*(1/(1+E333))*(1/(1+D333))</f>
        <v>-100972.41880341881</v>
      </c>
      <c r="G353" s="181">
        <f>G352*1/(1+G333)*(1/(1+F333)*(1/(1+E333))*(1/(1+D333)))</f>
        <v>16273.820512820515</v>
      </c>
      <c r="H353" s="181">
        <f>H352*1/(1+$H$11)*(1/(1+$G$11)*(1/(1+$F$11)*(1/(1+$E$11))*(1/(1+$D$11))))</f>
        <v>27430.365363096254</v>
      </c>
      <c r="I353" s="181">
        <f t="shared" ref="I353:AA353" si="438">I352*(1/((1+$H$11)^(I339-$G$18))*(1/(1+$G$11)*(1/(1+$F$11)*(1/(1+$E$11))*((1/(1+$D$11))))))</f>
        <v>61990.536318720951</v>
      </c>
      <c r="J353" s="181">
        <f t="shared" si="438"/>
        <v>58746.641718481493</v>
      </c>
      <c r="K353" s="181">
        <f t="shared" si="438"/>
        <v>55669.176579086852</v>
      </c>
      <c r="L353" s="181">
        <f t="shared" si="438"/>
        <v>52749.836932183767</v>
      </c>
      <c r="M353" s="181">
        <f t="shared" si="438"/>
        <v>49980.716201217911</v>
      </c>
      <c r="N353" s="181">
        <f t="shared" si="438"/>
        <v>47354.287439864471</v>
      </c>
      <c r="O353" s="181">
        <f t="shared" si="438"/>
        <v>44863.386267206173</v>
      </c>
      <c r="P353" s="181">
        <f t="shared" si="438"/>
        <v>42501.194480367209</v>
      </c>
      <c r="Q353" s="181">
        <f t="shared" si="438"/>
        <v>40261.224325087162</v>
      </c>
      <c r="R353" s="181">
        <f t="shared" si="438"/>
        <v>38137.303404593469</v>
      </c>
      <c r="S353" s="181">
        <f t="shared" si="438"/>
        <v>36123.560207092967</v>
      </c>
      <c r="T353" s="181">
        <f t="shared" si="438"/>
        <v>34214.410232242364</v>
      </c>
      <c r="U353" s="181">
        <f t="shared" si="438"/>
        <v>32404.542697064757</v>
      </c>
      <c r="V353" s="181">
        <f t="shared" si="438"/>
        <v>30688.907801946167</v>
      </c>
      <c r="W353" s="181">
        <f t="shared" si="438"/>
        <v>29062.704537565089</v>
      </c>
      <c r="X353" s="181">
        <f t="shared" si="438"/>
        <v>27521.369013871641</v>
      </c>
      <c r="Y353" s="181">
        <f t="shared" si="438"/>
        <v>26060.563292535477</v>
      </c>
      <c r="Z353" s="181">
        <f t="shared" si="438"/>
        <v>24676.164704616898</v>
      </c>
      <c r="AA353" s="181">
        <f t="shared" si="438"/>
        <v>23364.255635579153</v>
      </c>
    </row>
    <row r="354" spans="2:27" x14ac:dyDescent="0.25">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x14ac:dyDescent="0.25">
      <c r="B355" s="42" t="s">
        <v>168</v>
      </c>
      <c r="C355" s="126" t="s">
        <v>47</v>
      </c>
      <c r="D355" s="127">
        <f>SUM(D353:AA353)</f>
        <v>163622.90338746295</v>
      </c>
      <c r="E355" s="40"/>
      <c r="F355" s="40"/>
      <c r="G355" s="40"/>
      <c r="H355" s="40"/>
    </row>
    <row r="357" spans="2:27" x14ac:dyDescent="0.25">
      <c r="B357" s="42" t="s">
        <v>118</v>
      </c>
      <c r="C357" s="42"/>
      <c r="D357" s="241">
        <f>IFERROR(IRR(D352:AA352),0)</f>
        <v>0.10276442208391678</v>
      </c>
    </row>
    <row r="359" spans="2:27" x14ac:dyDescent="0.25">
      <c r="B359" s="42" t="s">
        <v>119</v>
      </c>
    </row>
    <row r="360" spans="2:27" x14ac:dyDescent="0.25">
      <c r="B360" s="3" t="s">
        <v>68</v>
      </c>
      <c r="C360" s="39"/>
      <c r="D360" s="21">
        <v>1</v>
      </c>
      <c r="E360" s="21">
        <v>2</v>
      </c>
      <c r="F360" s="21">
        <v>3</v>
      </c>
      <c r="G360" s="21">
        <v>4</v>
      </c>
      <c r="H360" s="21">
        <v>5</v>
      </c>
      <c r="I360" s="21">
        <v>6</v>
      </c>
      <c r="J360" s="21">
        <v>7</v>
      </c>
      <c r="K360" s="21">
        <v>8</v>
      </c>
      <c r="L360" s="21">
        <v>9</v>
      </c>
      <c r="M360" s="21">
        <v>10</v>
      </c>
      <c r="N360" s="21">
        <v>11</v>
      </c>
      <c r="O360" s="21">
        <v>12</v>
      </c>
      <c r="P360" s="21">
        <v>13</v>
      </c>
      <c r="Q360" s="21">
        <v>14</v>
      </c>
      <c r="R360" s="21">
        <v>15</v>
      </c>
      <c r="S360" s="21">
        <v>16</v>
      </c>
      <c r="T360" s="21">
        <v>17</v>
      </c>
      <c r="U360" s="21">
        <v>18</v>
      </c>
      <c r="V360" s="21">
        <v>19</v>
      </c>
      <c r="W360" s="21">
        <v>20</v>
      </c>
      <c r="X360" s="21">
        <v>21</v>
      </c>
      <c r="Y360" s="21">
        <v>22</v>
      </c>
      <c r="Z360" s="21">
        <v>23</v>
      </c>
      <c r="AA360" s="21">
        <v>24</v>
      </c>
    </row>
    <row r="361" spans="2:27" x14ac:dyDescent="0.25">
      <c r="B361" s="3" t="s">
        <v>117</v>
      </c>
      <c r="C361" s="125" t="s">
        <v>47</v>
      </c>
      <c r="D361" s="180">
        <f>D352</f>
        <v>-379988.23094444443</v>
      </c>
      <c r="E361" s="180">
        <f>E352</f>
        <v>-155491.41452991453</v>
      </c>
      <c r="F361" s="180">
        <f t="shared" ref="F361:AA361" si="439">F352</f>
        <v>-100972.41880341881</v>
      </c>
      <c r="G361" s="180">
        <f t="shared" si="439"/>
        <v>16273.820512820515</v>
      </c>
      <c r="H361" s="180">
        <f t="shared" si="439"/>
        <v>38526.470085470093</v>
      </c>
      <c r="I361" s="180">
        <f t="shared" si="439"/>
        <v>93187.69</v>
      </c>
      <c r="J361" s="180">
        <f t="shared" si="439"/>
        <v>94519.566900000005</v>
      </c>
      <c r="K361" s="180">
        <f t="shared" si="439"/>
        <v>95864.762568999984</v>
      </c>
      <c r="L361" s="180">
        <f t="shared" si="439"/>
        <v>97223.41019468999</v>
      </c>
      <c r="M361" s="180">
        <f t="shared" si="439"/>
        <v>98595.644296636892</v>
      </c>
      <c r="N361" s="180">
        <f t="shared" si="439"/>
        <v>99981.60073960328</v>
      </c>
      <c r="O361" s="180">
        <f t="shared" si="439"/>
        <v>101381.41674699931</v>
      </c>
      <c r="P361" s="180">
        <f t="shared" si="439"/>
        <v>102795.23091446928</v>
      </c>
      <c r="Q361" s="180">
        <f t="shared" si="439"/>
        <v>104223.18322361397</v>
      </c>
      <c r="R361" s="180">
        <f t="shared" si="439"/>
        <v>105665.41505585014</v>
      </c>
      <c r="S361" s="180">
        <f t="shared" si="439"/>
        <v>107122.06920640866</v>
      </c>
      <c r="T361" s="180">
        <f t="shared" si="439"/>
        <v>108593.28989847272</v>
      </c>
      <c r="U361" s="180">
        <f t="shared" si="439"/>
        <v>110079.22279745745</v>
      </c>
      <c r="V361" s="180">
        <f t="shared" si="439"/>
        <v>111580.01502543202</v>
      </c>
      <c r="W361" s="180">
        <f t="shared" si="439"/>
        <v>113095.81517568635</v>
      </c>
      <c r="X361" s="180">
        <f t="shared" si="439"/>
        <v>114626.77332744322</v>
      </c>
      <c r="Y361" s="180">
        <f t="shared" si="439"/>
        <v>116173.04106071766</v>
      </c>
      <c r="Z361" s="180">
        <f t="shared" si="439"/>
        <v>117734.77147132481</v>
      </c>
      <c r="AA361" s="180">
        <f t="shared" si="439"/>
        <v>119312.11918603806</v>
      </c>
    </row>
    <row r="362" spans="2:27" x14ac:dyDescent="0.25">
      <c r="B362" s="128" t="s">
        <v>120</v>
      </c>
      <c r="C362" s="129" t="s">
        <v>47</v>
      </c>
      <c r="D362" s="242">
        <f>D341*1/(1+D333)</f>
        <v>364864.23094444443</v>
      </c>
      <c r="E362" s="242">
        <f>E341*1/(1+E333)*(1/(1+D333))</f>
        <v>176277.41452991453</v>
      </c>
      <c r="F362" s="242">
        <f>F341*1/(1+F333)*(1/(1+E333))*(1/(1+D333))</f>
        <v>160998.41880341881</v>
      </c>
      <c r="G362" s="242">
        <f>G341*1/(1+G333)*(1/(1+F333)*(1/(1+E333))*(1/(1+D333)))</f>
        <v>66432.179487179485</v>
      </c>
      <c r="H362" s="242">
        <f>H341*1/(1+$H$11)*(1/(1+$G$11)*(1/(1+$F$11)*(1/(1+$E$11))*(1/(1+$D$11))))</f>
        <v>43502.101940584122</v>
      </c>
    </row>
    <row r="363" spans="2:27" x14ac:dyDescent="0.25">
      <c r="B363" s="3" t="s">
        <v>121</v>
      </c>
      <c r="C363" s="125" t="s">
        <v>47</v>
      </c>
      <c r="D363" s="181">
        <f>D361-D362</f>
        <v>-744852.46188888885</v>
      </c>
      <c r="E363" s="181">
        <f>D363+E361-E362</f>
        <v>-1076621.2909487179</v>
      </c>
      <c r="F363" s="181">
        <f>E363+F361-F362</f>
        <v>-1338592.1285555554</v>
      </c>
      <c r="G363" s="181">
        <f>F363+G361-G362</f>
        <v>-1388750.4875299144</v>
      </c>
      <c r="H363" s="181">
        <f>G363+H361-H362</f>
        <v>-1393726.1193850285</v>
      </c>
      <c r="I363" s="181">
        <f t="shared" ref="I363" si="440">H363+I361</f>
        <v>-1300538.4293850285</v>
      </c>
      <c r="J363" s="181">
        <f t="shared" ref="J363" si="441">I363+J361</f>
        <v>-1206018.8624850286</v>
      </c>
      <c r="K363" s="181">
        <f t="shared" ref="K363" si="442">J363+K361</f>
        <v>-1110154.0999160286</v>
      </c>
      <c r="L363" s="181">
        <f t="shared" ref="L363" si="443">K363+L361</f>
        <v>-1012930.6897213386</v>
      </c>
      <c r="M363" s="181">
        <f t="shared" ref="M363" si="444">L363+M361</f>
        <v>-914335.04542470165</v>
      </c>
      <c r="N363" s="181">
        <f t="shared" ref="N363" si="445">M363+N361</f>
        <v>-814353.44468509837</v>
      </c>
      <c r="O363" s="181">
        <f t="shared" ref="O363" si="446">N363+O361</f>
        <v>-712972.02793809911</v>
      </c>
      <c r="P363" s="181">
        <f t="shared" ref="P363" si="447">O363+P361</f>
        <v>-610176.79702362977</v>
      </c>
      <c r="Q363" s="181">
        <f t="shared" ref="Q363" si="448">P363+Q361</f>
        <v>-505953.61380001577</v>
      </c>
      <c r="R363" s="181">
        <f t="shared" ref="R363" si="449">Q363+R361</f>
        <v>-400288.19874416559</v>
      </c>
      <c r="S363" s="181">
        <f t="shared" ref="S363" si="450">R363+S361</f>
        <v>-293166.1295377569</v>
      </c>
      <c r="T363" s="181">
        <f t="shared" ref="T363" si="451">S363+T361</f>
        <v>-184572.83963928418</v>
      </c>
      <c r="U363" s="181">
        <f t="shared" ref="U363" si="452">T363+U361</f>
        <v>-74493.616841826733</v>
      </c>
      <c r="V363" s="181">
        <f t="shared" ref="V363" si="453">U363+V361</f>
        <v>37086.398183605284</v>
      </c>
      <c r="W363" s="181">
        <f t="shared" ref="W363" si="454">V363+W361</f>
        <v>150182.21335929164</v>
      </c>
      <c r="X363" s="181">
        <f t="shared" ref="X363" si="455">W363+X361</f>
        <v>264808.98668673483</v>
      </c>
      <c r="Y363" s="181">
        <f t="shared" ref="Y363" si="456">X363+Y361</f>
        <v>380982.02774745249</v>
      </c>
      <c r="Z363" s="181">
        <f t="shared" ref="Z363" si="457">Y363+Z361</f>
        <v>498716.79921877733</v>
      </c>
      <c r="AA363" s="181">
        <f t="shared" ref="AA363" si="458">Z363+AA361</f>
        <v>618028.91840481537</v>
      </c>
    </row>
    <row r="364" spans="2:27" x14ac:dyDescent="0.25">
      <c r="B364" s="130" t="s">
        <v>122</v>
      </c>
    </row>
    <row r="366" spans="2:27" ht="15.75" x14ac:dyDescent="0.25">
      <c r="B366" s="448" t="s">
        <v>311</v>
      </c>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c r="AA366" s="449"/>
    </row>
    <row r="367" spans="2:27" ht="15.75" x14ac:dyDescent="0.25">
      <c r="B367" s="116"/>
      <c r="C367" s="116"/>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row>
    <row r="368" spans="2:27" x14ac:dyDescent="0.25">
      <c r="B368" s="118" t="s">
        <v>105</v>
      </c>
      <c r="C368" s="110"/>
    </row>
    <row r="369" spans="2:27" x14ac:dyDescent="0.25">
      <c r="B369" s="3"/>
      <c r="C369" s="27" t="s">
        <v>20</v>
      </c>
      <c r="D369" s="27">
        <f>$C$3</f>
        <v>2023</v>
      </c>
      <c r="E369" s="27">
        <f>$C$3+1</f>
        <v>2024</v>
      </c>
      <c r="F369" s="27">
        <f>$C$3+2</f>
        <v>2025</v>
      </c>
      <c r="G369" s="27">
        <f>$C$3+3</f>
        <v>2026</v>
      </c>
      <c r="H369" s="27">
        <f>$C$3+4</f>
        <v>2027</v>
      </c>
      <c r="I369" s="27">
        <f>H369+1</f>
        <v>2028</v>
      </c>
      <c r="J369" s="27">
        <f t="shared" ref="J369" si="459">I369+1</f>
        <v>2029</v>
      </c>
      <c r="K369" s="27">
        <f t="shared" ref="K369" si="460">J369+1</f>
        <v>2030</v>
      </c>
      <c r="L369" s="27">
        <f t="shared" ref="L369" si="461">K369+1</f>
        <v>2031</v>
      </c>
      <c r="M369" s="27">
        <f t="shared" ref="M369" si="462">L369+1</f>
        <v>2032</v>
      </c>
      <c r="N369" s="27">
        <f t="shared" ref="N369" si="463">M369+1</f>
        <v>2033</v>
      </c>
      <c r="O369" s="27">
        <f t="shared" ref="O369" si="464">N369+1</f>
        <v>2034</v>
      </c>
      <c r="P369" s="27">
        <f t="shared" ref="P369" si="465">O369+1</f>
        <v>2035</v>
      </c>
      <c r="Q369" s="27">
        <f t="shared" ref="Q369" si="466">P369+1</f>
        <v>2036</v>
      </c>
      <c r="R369" s="27">
        <f t="shared" ref="R369" si="467">Q369+1</f>
        <v>2037</v>
      </c>
      <c r="S369" s="27">
        <f t="shared" ref="S369" si="468">R369+1</f>
        <v>2038</v>
      </c>
      <c r="T369" s="27">
        <f t="shared" ref="T369" si="469">S369+1</f>
        <v>2039</v>
      </c>
      <c r="U369" s="27">
        <f t="shared" ref="U369" si="470">T369+1</f>
        <v>2040</v>
      </c>
      <c r="V369" s="27">
        <f t="shared" ref="V369" si="471">U369+1</f>
        <v>2041</v>
      </c>
      <c r="W369" s="27">
        <f t="shared" ref="W369" si="472">V369+1</f>
        <v>2042</v>
      </c>
      <c r="X369" s="27">
        <f t="shared" ref="X369" si="473">W369+1</f>
        <v>2043</v>
      </c>
      <c r="Y369" s="27">
        <f t="shared" ref="Y369" si="474">X369+1</f>
        <v>2044</v>
      </c>
      <c r="Z369" s="27">
        <f t="shared" ref="Z369" si="475">Y369+1</f>
        <v>2045</v>
      </c>
      <c r="AA369" s="27">
        <f t="shared" ref="AA369" si="476">Z369+1</f>
        <v>2046</v>
      </c>
    </row>
    <row r="370" spans="2:27" x14ac:dyDescent="0.25">
      <c r="B370" s="3" t="s">
        <v>68</v>
      </c>
      <c r="C370" s="39"/>
      <c r="D370" s="21">
        <v>1</v>
      </c>
      <c r="E370" s="21">
        <v>2</v>
      </c>
      <c r="F370" s="21">
        <v>3</v>
      </c>
      <c r="G370" s="21">
        <v>4</v>
      </c>
      <c r="H370" s="21">
        <v>5</v>
      </c>
      <c r="I370" s="21">
        <v>6</v>
      </c>
      <c r="J370" s="21">
        <v>7</v>
      </c>
      <c r="K370" s="21">
        <v>8</v>
      </c>
      <c r="L370" s="21">
        <v>9</v>
      </c>
      <c r="M370" s="21">
        <v>10</v>
      </c>
      <c r="N370" s="21">
        <v>11</v>
      </c>
      <c r="O370" s="21">
        <v>12</v>
      </c>
      <c r="P370" s="21">
        <v>13</v>
      </c>
      <c r="Q370" s="21">
        <v>14</v>
      </c>
      <c r="R370" s="21">
        <v>15</v>
      </c>
      <c r="S370" s="21">
        <v>16</v>
      </c>
      <c r="T370" s="21">
        <v>17</v>
      </c>
      <c r="U370" s="21">
        <v>18</v>
      </c>
      <c r="V370" s="21">
        <v>19</v>
      </c>
      <c r="W370" s="21">
        <v>20</v>
      </c>
      <c r="X370" s="21">
        <v>21</v>
      </c>
      <c r="Y370" s="21">
        <v>22</v>
      </c>
      <c r="Z370" s="21">
        <v>23</v>
      </c>
      <c r="AA370" s="21">
        <v>24</v>
      </c>
    </row>
    <row r="371" spans="2:27" x14ac:dyDescent="0.25">
      <c r="B371" s="446" t="s">
        <v>106</v>
      </c>
      <c r="C371" s="447"/>
      <c r="D371" s="447"/>
      <c r="E371" s="447"/>
      <c r="F371" s="447"/>
      <c r="G371" s="447"/>
      <c r="H371" s="447"/>
      <c r="I371" s="447"/>
      <c r="J371" s="447"/>
      <c r="K371" s="447"/>
      <c r="L371" s="447"/>
      <c r="M371" s="447"/>
      <c r="N371" s="447"/>
      <c r="O371" s="447"/>
      <c r="P371" s="447"/>
      <c r="Q371" s="447"/>
      <c r="R371" s="447"/>
      <c r="S371" s="447"/>
      <c r="T371" s="447"/>
      <c r="U371" s="447"/>
      <c r="V371" s="447"/>
      <c r="W371" s="447"/>
      <c r="X371" s="447"/>
      <c r="Y371" s="447"/>
      <c r="Z371" s="447"/>
      <c r="AA371" s="447"/>
    </row>
    <row r="372" spans="2:27" x14ac:dyDescent="0.25">
      <c r="B372" s="3" t="s">
        <v>167</v>
      </c>
      <c r="C372" s="119" t="s">
        <v>47</v>
      </c>
      <c r="D372" s="36">
        <f>(Επενδύσεις!D22)*0.5</f>
        <v>615097.45382051286</v>
      </c>
      <c r="E372" s="36">
        <f>(Επενδύσεις!E22)*0.5</f>
        <v>269639.9145299145</v>
      </c>
      <c r="F372" s="36">
        <f>(Επενδύσεις!F22)*0.5</f>
        <v>184752.94871794872</v>
      </c>
      <c r="G372" s="36">
        <f>(Επενδύσεις!G22)*0.5</f>
        <v>145970.04273504275</v>
      </c>
      <c r="H372" s="36">
        <f>(Επενδύσεις!H22)*0.5</f>
        <v>135789.52991452991</v>
      </c>
      <c r="I372" s="120"/>
      <c r="J372" s="120"/>
      <c r="K372" s="120"/>
      <c r="L372" s="120"/>
      <c r="M372" s="120"/>
      <c r="N372" s="120"/>
      <c r="O372" s="120"/>
      <c r="P372" s="120"/>
      <c r="Q372" s="120"/>
      <c r="R372" s="120"/>
      <c r="S372" s="120"/>
      <c r="T372" s="120"/>
      <c r="U372" s="120"/>
      <c r="V372" s="120"/>
      <c r="W372" s="120"/>
      <c r="X372" s="120"/>
      <c r="Y372" s="120"/>
      <c r="Z372" s="120"/>
      <c r="AA372" s="120"/>
    </row>
    <row r="373" spans="2:27" x14ac:dyDescent="0.25">
      <c r="B373" s="3" t="s">
        <v>107</v>
      </c>
      <c r="C373" s="119" t="s">
        <v>47</v>
      </c>
      <c r="D373" s="120"/>
      <c r="E373" s="120"/>
      <c r="F373" s="120"/>
      <c r="G373" s="120"/>
      <c r="H373" s="120"/>
      <c r="I373" s="36"/>
      <c r="J373" s="36"/>
      <c r="K373" s="36"/>
      <c r="L373" s="36"/>
      <c r="M373" s="36"/>
      <c r="N373" s="36"/>
      <c r="O373" s="36"/>
      <c r="P373" s="36"/>
      <c r="Q373" s="36"/>
      <c r="R373" s="36"/>
      <c r="S373" s="36"/>
      <c r="T373" s="36"/>
      <c r="U373" s="36"/>
      <c r="V373" s="36"/>
      <c r="W373" s="36"/>
      <c r="X373" s="36"/>
      <c r="Y373" s="36"/>
      <c r="Z373" s="36"/>
      <c r="AA373" s="36"/>
    </row>
    <row r="374" spans="2:27" x14ac:dyDescent="0.25">
      <c r="B374" s="3" t="s">
        <v>108</v>
      </c>
      <c r="C374" s="121" t="s">
        <v>47</v>
      </c>
      <c r="D374" s="36">
        <v>30000</v>
      </c>
      <c r="E374" s="36">
        <v>30000</v>
      </c>
      <c r="F374" s="36">
        <v>30000</v>
      </c>
      <c r="G374" s="36">
        <v>30000</v>
      </c>
      <c r="H374" s="36">
        <v>30000</v>
      </c>
      <c r="I374" s="36">
        <v>30000</v>
      </c>
      <c r="J374" s="36">
        <f>I374</f>
        <v>30000</v>
      </c>
      <c r="K374" s="36">
        <f t="shared" ref="K374" si="477">J374</f>
        <v>30000</v>
      </c>
      <c r="L374" s="36">
        <f t="shared" ref="L374" si="478">K374</f>
        <v>30000</v>
      </c>
      <c r="M374" s="36">
        <f t="shared" ref="M374" si="479">L374</f>
        <v>30000</v>
      </c>
      <c r="N374" s="36">
        <f t="shared" ref="N374" si="480">M374</f>
        <v>30000</v>
      </c>
      <c r="O374" s="36">
        <f t="shared" ref="O374" si="481">N374</f>
        <v>30000</v>
      </c>
      <c r="P374" s="36">
        <f t="shared" ref="P374" si="482">O374</f>
        <v>30000</v>
      </c>
      <c r="Q374" s="36">
        <f t="shared" ref="Q374" si="483">P374</f>
        <v>30000</v>
      </c>
      <c r="R374" s="36">
        <f t="shared" ref="R374" si="484">Q374</f>
        <v>30000</v>
      </c>
      <c r="S374" s="36">
        <f t="shared" ref="S374" si="485">R374</f>
        <v>30000</v>
      </c>
      <c r="T374" s="36">
        <f t="shared" ref="T374" si="486">S374</f>
        <v>30000</v>
      </c>
      <c r="U374" s="36">
        <f t="shared" ref="U374" si="487">T374</f>
        <v>30000</v>
      </c>
      <c r="V374" s="36">
        <f t="shared" ref="V374" si="488">U374</f>
        <v>30000</v>
      </c>
      <c r="W374" s="36">
        <f t="shared" ref="W374" si="489">V374</f>
        <v>30000</v>
      </c>
      <c r="X374" s="36">
        <f t="shared" ref="X374" si="490">W374</f>
        <v>30000</v>
      </c>
      <c r="Y374" s="36">
        <f t="shared" ref="Y374" si="491">X374</f>
        <v>30000</v>
      </c>
      <c r="Z374" s="36">
        <f t="shared" ref="Z374" si="492">Y374</f>
        <v>30000</v>
      </c>
      <c r="AA374" s="36">
        <f t="shared" ref="AA374" si="493">Z374</f>
        <v>30000</v>
      </c>
    </row>
    <row r="375" spans="2:27" x14ac:dyDescent="0.25">
      <c r="B375" s="122" t="s">
        <v>109</v>
      </c>
      <c r="C375" s="121" t="s">
        <v>47</v>
      </c>
      <c r="D375" s="240">
        <f>D372+D374</f>
        <v>645097.45382051286</v>
      </c>
      <c r="E375" s="240">
        <f>E372+E374</f>
        <v>299639.9145299145</v>
      </c>
      <c r="F375" s="240">
        <f>F372+F374</f>
        <v>214752.94871794872</v>
      </c>
      <c r="G375" s="240">
        <f>G372+G374</f>
        <v>175970.04273504275</v>
      </c>
      <c r="H375" s="240">
        <f>H372+H374</f>
        <v>165789.52991452991</v>
      </c>
      <c r="I375" s="240">
        <f>I373+I374</f>
        <v>30000</v>
      </c>
      <c r="J375" s="240">
        <f t="shared" ref="J375:AA375" si="494">J373+J374</f>
        <v>30000</v>
      </c>
      <c r="K375" s="240">
        <f t="shared" si="494"/>
        <v>30000</v>
      </c>
      <c r="L375" s="240">
        <f t="shared" si="494"/>
        <v>30000</v>
      </c>
      <c r="M375" s="240">
        <f t="shared" si="494"/>
        <v>30000</v>
      </c>
      <c r="N375" s="240">
        <f t="shared" si="494"/>
        <v>30000</v>
      </c>
      <c r="O375" s="240">
        <f t="shared" si="494"/>
        <v>30000</v>
      </c>
      <c r="P375" s="240">
        <f t="shared" si="494"/>
        <v>30000</v>
      </c>
      <c r="Q375" s="240">
        <f t="shared" si="494"/>
        <v>30000</v>
      </c>
      <c r="R375" s="240">
        <f t="shared" si="494"/>
        <v>30000</v>
      </c>
      <c r="S375" s="240">
        <f t="shared" si="494"/>
        <v>30000</v>
      </c>
      <c r="T375" s="240">
        <f t="shared" si="494"/>
        <v>30000</v>
      </c>
      <c r="U375" s="240">
        <f t="shared" si="494"/>
        <v>30000</v>
      </c>
      <c r="V375" s="240">
        <f t="shared" si="494"/>
        <v>30000</v>
      </c>
      <c r="W375" s="240">
        <f t="shared" si="494"/>
        <v>30000</v>
      </c>
      <c r="X375" s="240">
        <f t="shared" si="494"/>
        <v>30000</v>
      </c>
      <c r="Y375" s="240">
        <f t="shared" si="494"/>
        <v>30000</v>
      </c>
      <c r="Z375" s="240">
        <f t="shared" si="494"/>
        <v>30000</v>
      </c>
      <c r="AA375" s="240">
        <f t="shared" si="494"/>
        <v>30000</v>
      </c>
    </row>
    <row r="376" spans="2:27" x14ac:dyDescent="0.25">
      <c r="B376" s="17" t="s">
        <v>110</v>
      </c>
    </row>
    <row r="377" spans="2:27" x14ac:dyDescent="0.25">
      <c r="B377" s="17" t="s">
        <v>111</v>
      </c>
    </row>
    <row r="378" spans="2:27" x14ac:dyDescent="0.25">
      <c r="B378" s="446" t="s">
        <v>112</v>
      </c>
      <c r="C378" s="447"/>
      <c r="D378" s="447"/>
      <c r="E378" s="447"/>
      <c r="F378" s="447"/>
      <c r="G378" s="447"/>
      <c r="H378" s="447"/>
      <c r="I378" s="447"/>
      <c r="J378" s="447"/>
      <c r="K378" s="447"/>
      <c r="L378" s="447"/>
      <c r="M378" s="447"/>
      <c r="N378" s="447"/>
      <c r="O378" s="447"/>
      <c r="P378" s="447"/>
      <c r="Q378" s="447"/>
      <c r="R378" s="447"/>
      <c r="S378" s="447"/>
      <c r="T378" s="447"/>
      <c r="U378" s="447"/>
      <c r="V378" s="447"/>
      <c r="W378" s="447"/>
      <c r="X378" s="447"/>
      <c r="Y378" s="447"/>
      <c r="Z378" s="447"/>
      <c r="AA378" s="447"/>
    </row>
    <row r="379" spans="2:27" x14ac:dyDescent="0.25">
      <c r="B379" s="123" t="s">
        <v>113</v>
      </c>
      <c r="C379" s="119" t="s">
        <v>26</v>
      </c>
      <c r="D379" s="36">
        <f>'Διανεμόμενες ποσότητες αερίου'!T25</f>
        <v>1530</v>
      </c>
      <c r="E379" s="36">
        <f>'Διανεμόμενες ποσότητες αερίου'!Z25</f>
        <v>3525</v>
      </c>
      <c r="F379" s="36">
        <f>'Διανεμόμενες ποσότητες αερίου'!AF25</f>
        <v>6645</v>
      </c>
      <c r="G379" s="36">
        <f>'Διανεμόμενες ποσότητες αερίου'!AL25</f>
        <v>8105</v>
      </c>
      <c r="H379" s="36">
        <f>'Διανεμόμενες ποσότητες αερίου'!AR25</f>
        <v>9045</v>
      </c>
      <c r="I379" s="36">
        <f>H379*1.01</f>
        <v>9135.4500000000007</v>
      </c>
      <c r="J379" s="36">
        <f t="shared" ref="J379" si="495">I379*1.01</f>
        <v>9226.8045000000002</v>
      </c>
      <c r="K379" s="36">
        <f t="shared" ref="K379" si="496">J379*1.01</f>
        <v>9319.0725450000009</v>
      </c>
      <c r="L379" s="36">
        <f t="shared" ref="L379" si="497">K379*1.01</f>
        <v>9412.2632704500011</v>
      </c>
      <c r="M379" s="36">
        <f t="shared" ref="M379" si="498">L379*1.01</f>
        <v>9506.3859031545016</v>
      </c>
      <c r="N379" s="36">
        <f t="shared" ref="N379" si="499">M379*1.01</f>
        <v>9601.4497621860464</v>
      </c>
      <c r="O379" s="36">
        <f t="shared" ref="O379" si="500">N379*1.01</f>
        <v>9697.4642598079063</v>
      </c>
      <c r="P379" s="36">
        <f t="shared" ref="P379" si="501">O379*1.01</f>
        <v>9794.4389024059856</v>
      </c>
      <c r="Q379" s="36">
        <f t="shared" ref="Q379" si="502">P379*1.01</f>
        <v>9892.3832914300456</v>
      </c>
      <c r="R379" s="36">
        <f t="shared" ref="R379" si="503">Q379*1.01</f>
        <v>9991.3071243443464</v>
      </c>
      <c r="S379" s="36">
        <f t="shared" ref="S379" si="504">R379*1.01</f>
        <v>10091.22019558779</v>
      </c>
      <c r="T379" s="36">
        <f t="shared" ref="T379" si="505">S379*1.01</f>
        <v>10192.132397543668</v>
      </c>
      <c r="U379" s="36">
        <f t="shared" ref="U379" si="506">T379*1.01</f>
        <v>10294.053721519105</v>
      </c>
      <c r="V379" s="36">
        <f t="shared" ref="V379" si="507">U379*1.01</f>
        <v>10396.994258734296</v>
      </c>
      <c r="W379" s="36">
        <f t="shared" ref="W379" si="508">V379*1.01</f>
        <v>10500.964201321638</v>
      </c>
      <c r="X379" s="36">
        <f t="shared" ref="X379" si="509">W379*1.01</f>
        <v>10605.973843334854</v>
      </c>
      <c r="Y379" s="36">
        <f t="shared" ref="Y379" si="510">X379*1.01</f>
        <v>10712.033581768203</v>
      </c>
      <c r="Z379" s="36">
        <f t="shared" ref="Z379" si="511">Y379*1.01</f>
        <v>10819.153917585885</v>
      </c>
      <c r="AA379" s="36">
        <f t="shared" ref="AA379" si="512">Z379*1.01</f>
        <v>10927.345456761745</v>
      </c>
    </row>
    <row r="380" spans="2:27" x14ac:dyDescent="0.25">
      <c r="B380" s="123" t="s">
        <v>114</v>
      </c>
      <c r="C380" s="121" t="s">
        <v>47</v>
      </c>
      <c r="D380" s="180">
        <f>D379*19</f>
        <v>29070</v>
      </c>
      <c r="E380" s="180">
        <f t="shared" ref="E380:H380" si="513">E379*19</f>
        <v>66975</v>
      </c>
      <c r="F380" s="180">
        <f t="shared" si="513"/>
        <v>126255</v>
      </c>
      <c r="G380" s="180">
        <f t="shared" si="513"/>
        <v>153995</v>
      </c>
      <c r="H380" s="180">
        <f t="shared" si="513"/>
        <v>171855</v>
      </c>
      <c r="I380" s="180">
        <f>I379*18</f>
        <v>164438.1</v>
      </c>
      <c r="J380" s="180">
        <f t="shared" ref="J380:AA380" si="514">J379*18</f>
        <v>166082.481</v>
      </c>
      <c r="K380" s="180">
        <f t="shared" si="514"/>
        <v>167743.30581000002</v>
      </c>
      <c r="L380" s="180">
        <f t="shared" si="514"/>
        <v>169420.73886810002</v>
      </c>
      <c r="M380" s="180">
        <f t="shared" si="514"/>
        <v>171114.94625678103</v>
      </c>
      <c r="N380" s="180">
        <f t="shared" si="514"/>
        <v>172826.09571934884</v>
      </c>
      <c r="O380" s="180">
        <f t="shared" si="514"/>
        <v>174554.35667654232</v>
      </c>
      <c r="P380" s="180">
        <f t="shared" si="514"/>
        <v>176299.90024330775</v>
      </c>
      <c r="Q380" s="180">
        <f t="shared" si="514"/>
        <v>178062.89924574082</v>
      </c>
      <c r="R380" s="180">
        <f t="shared" si="514"/>
        <v>179843.52823819823</v>
      </c>
      <c r="S380" s="180">
        <f t="shared" si="514"/>
        <v>181641.9635205802</v>
      </c>
      <c r="T380" s="180">
        <f t="shared" si="514"/>
        <v>183458.38315578602</v>
      </c>
      <c r="U380" s="180">
        <f t="shared" si="514"/>
        <v>185292.96698734388</v>
      </c>
      <c r="V380" s="180">
        <f t="shared" si="514"/>
        <v>187145.89665721732</v>
      </c>
      <c r="W380" s="180">
        <f t="shared" si="514"/>
        <v>189017.35562378948</v>
      </c>
      <c r="X380" s="180">
        <f t="shared" si="514"/>
        <v>190907.52918002737</v>
      </c>
      <c r="Y380" s="180">
        <f t="shared" si="514"/>
        <v>192816.60447182765</v>
      </c>
      <c r="Z380" s="180">
        <f t="shared" si="514"/>
        <v>194744.77051654592</v>
      </c>
      <c r="AA380" s="180">
        <f t="shared" si="514"/>
        <v>196692.2182217114</v>
      </c>
    </row>
    <row r="381" spans="2:27" x14ac:dyDescent="0.25">
      <c r="B381" s="122" t="s">
        <v>115</v>
      </c>
      <c r="C381" s="121" t="s">
        <v>47</v>
      </c>
      <c r="D381" s="240">
        <f>D380</f>
        <v>29070</v>
      </c>
      <c r="E381" s="240">
        <f t="shared" ref="E381:G381" si="515">E380</f>
        <v>66975</v>
      </c>
      <c r="F381" s="240">
        <f t="shared" si="515"/>
        <v>126255</v>
      </c>
      <c r="G381" s="240">
        <f t="shared" si="515"/>
        <v>153995</v>
      </c>
      <c r="H381" s="240">
        <f>H380</f>
        <v>171855</v>
      </c>
      <c r="I381" s="240">
        <f t="shared" ref="I381:AA381" si="516">I380</f>
        <v>164438.1</v>
      </c>
      <c r="J381" s="240">
        <f t="shared" si="516"/>
        <v>166082.481</v>
      </c>
      <c r="K381" s="240">
        <f t="shared" si="516"/>
        <v>167743.30581000002</v>
      </c>
      <c r="L381" s="240">
        <f t="shared" si="516"/>
        <v>169420.73886810002</v>
      </c>
      <c r="M381" s="240">
        <f t="shared" si="516"/>
        <v>171114.94625678103</v>
      </c>
      <c r="N381" s="240">
        <f t="shared" si="516"/>
        <v>172826.09571934884</v>
      </c>
      <c r="O381" s="240">
        <f t="shared" si="516"/>
        <v>174554.35667654232</v>
      </c>
      <c r="P381" s="240">
        <f t="shared" si="516"/>
        <v>176299.90024330775</v>
      </c>
      <c r="Q381" s="240">
        <f t="shared" si="516"/>
        <v>178062.89924574082</v>
      </c>
      <c r="R381" s="240">
        <f t="shared" si="516"/>
        <v>179843.52823819823</v>
      </c>
      <c r="S381" s="240">
        <f t="shared" si="516"/>
        <v>181641.9635205802</v>
      </c>
      <c r="T381" s="240">
        <f t="shared" si="516"/>
        <v>183458.38315578602</v>
      </c>
      <c r="U381" s="240">
        <f t="shared" si="516"/>
        <v>185292.96698734388</v>
      </c>
      <c r="V381" s="240">
        <f t="shared" si="516"/>
        <v>187145.89665721732</v>
      </c>
      <c r="W381" s="240">
        <f t="shared" si="516"/>
        <v>189017.35562378948</v>
      </c>
      <c r="X381" s="240">
        <f t="shared" si="516"/>
        <v>190907.52918002737</v>
      </c>
      <c r="Y381" s="240">
        <f t="shared" si="516"/>
        <v>192816.60447182765</v>
      </c>
      <c r="Z381" s="240">
        <f t="shared" si="516"/>
        <v>194744.77051654592</v>
      </c>
      <c r="AA381" s="240">
        <f t="shared" si="516"/>
        <v>196692.2182217114</v>
      </c>
    </row>
    <row r="382" spans="2:27" x14ac:dyDescent="0.25">
      <c r="B382" s="124" t="s">
        <v>116</v>
      </c>
    </row>
    <row r="383" spans="2:27" x14ac:dyDescent="0.25">
      <c r="B383" s="3" t="s">
        <v>117</v>
      </c>
      <c r="C383" s="125" t="s">
        <v>47</v>
      </c>
      <c r="D383" s="181">
        <f>D381-D375</f>
        <v>-616027.45382051286</v>
      </c>
      <c r="E383" s="181">
        <f t="shared" ref="E383:AA383" si="517">E381-E375</f>
        <v>-232664.9145299145</v>
      </c>
      <c r="F383" s="181">
        <f t="shared" si="517"/>
        <v>-88497.948717948719</v>
      </c>
      <c r="G383" s="181">
        <f t="shared" si="517"/>
        <v>-21975.042735042749</v>
      </c>
      <c r="H383" s="181">
        <f t="shared" si="517"/>
        <v>6065.4700854700932</v>
      </c>
      <c r="I383" s="181">
        <f t="shared" si="517"/>
        <v>134438.1</v>
      </c>
      <c r="J383" s="181">
        <f t="shared" si="517"/>
        <v>136082.481</v>
      </c>
      <c r="K383" s="181">
        <f t="shared" si="517"/>
        <v>137743.30581000002</v>
      </c>
      <c r="L383" s="181">
        <f t="shared" si="517"/>
        <v>139420.73886810002</v>
      </c>
      <c r="M383" s="181">
        <f t="shared" si="517"/>
        <v>141114.94625678103</v>
      </c>
      <c r="N383" s="181">
        <f t="shared" si="517"/>
        <v>142826.09571934884</v>
      </c>
      <c r="O383" s="181">
        <f t="shared" si="517"/>
        <v>144554.35667654232</v>
      </c>
      <c r="P383" s="181">
        <f t="shared" si="517"/>
        <v>146299.90024330775</v>
      </c>
      <c r="Q383" s="181">
        <f t="shared" si="517"/>
        <v>148062.89924574082</v>
      </c>
      <c r="R383" s="181">
        <f t="shared" si="517"/>
        <v>149843.52823819823</v>
      </c>
      <c r="S383" s="181">
        <f t="shared" si="517"/>
        <v>151641.9635205802</v>
      </c>
      <c r="T383" s="181">
        <f t="shared" si="517"/>
        <v>153458.38315578602</v>
      </c>
      <c r="U383" s="181">
        <f t="shared" si="517"/>
        <v>155292.96698734388</v>
      </c>
      <c r="V383" s="181">
        <f t="shared" si="517"/>
        <v>157145.89665721732</v>
      </c>
      <c r="W383" s="181">
        <f t="shared" si="517"/>
        <v>159017.35562378948</v>
      </c>
      <c r="X383" s="181">
        <f t="shared" si="517"/>
        <v>160907.52918002737</v>
      </c>
      <c r="Y383" s="181">
        <f t="shared" si="517"/>
        <v>162816.60447182765</v>
      </c>
      <c r="Z383" s="181">
        <f t="shared" si="517"/>
        <v>164744.77051654592</v>
      </c>
      <c r="AA383" s="181">
        <f t="shared" si="517"/>
        <v>166692.2182217114</v>
      </c>
    </row>
    <row r="384" spans="2:27" x14ac:dyDescent="0.25">
      <c r="B384" s="3" t="s">
        <v>69</v>
      </c>
      <c r="C384" s="125" t="s">
        <v>47</v>
      </c>
      <c r="D384" s="181">
        <f>D383*1/(1+D364)</f>
        <v>-616027.45382051286</v>
      </c>
      <c r="E384" s="181">
        <f>E383*1/(1+E364)*(1/(1+D364))</f>
        <v>-232664.9145299145</v>
      </c>
      <c r="F384" s="181">
        <f>F383*1/(1+F364)*(1/(1+E364))*(1/(1+D364))</f>
        <v>-88497.948717948719</v>
      </c>
      <c r="G384" s="181">
        <f>G383*1/(1+G364)*(1/(1+F364)*(1/(1+E364))*(1/(1+D364)))</f>
        <v>-21975.042735042749</v>
      </c>
      <c r="H384" s="181">
        <f>H383*1/(1+$H$11)*(1/(1+$G$11)*(1/(1+$F$11)*(1/(1+$E$11))*(1/(1+$D$11))))</f>
        <v>4318.5389207542094</v>
      </c>
      <c r="I384" s="181">
        <f t="shared" ref="I384:AA384" si="518">I383*(1/((1+$H$11)^(I370-$G$18))*(1/(1+$G$11)*(1/(1+$F$11)*(1/(1+$E$11))*((1/(1+$D$11))))))</f>
        <v>89431.231964971332</v>
      </c>
      <c r="J384" s="181">
        <f t="shared" si="518"/>
        <v>84579.193680891316</v>
      </c>
      <c r="K384" s="181">
        <f t="shared" si="518"/>
        <v>79988.268976359919</v>
      </c>
      <c r="L384" s="181">
        <f t="shared" si="518"/>
        <v>75644.551302300693</v>
      </c>
      <c r="M384" s="181">
        <f t="shared" si="518"/>
        <v>71534.864759242409</v>
      </c>
      <c r="N384" s="181">
        <f t="shared" si="518"/>
        <v>67646.72640341724</v>
      </c>
      <c r="O384" s="181">
        <f t="shared" si="518"/>
        <v>63968.310448563156</v>
      </c>
      <c r="P384" s="181">
        <f t="shared" si="518"/>
        <v>60488.414271599453</v>
      </c>
      <c r="Q384" s="181">
        <f t="shared" si="518"/>
        <v>57196.426134535053</v>
      </c>
      <c r="R384" s="181">
        <f t="shared" si="518"/>
        <v>54082.294538988288</v>
      </c>
      <c r="S384" s="181">
        <f t="shared" si="518"/>
        <v>51136.499133548838</v>
      </c>
      <c r="T384" s="181">
        <f t="shared" si="518"/>
        <v>48350.02309790541</v>
      </c>
      <c r="U384" s="181">
        <f t="shared" si="518"/>
        <v>45714.326931198899</v>
      </c>
      <c r="V384" s="181">
        <f t="shared" si="518"/>
        <v>43221.323575447605</v>
      </c>
      <c r="W384" s="181">
        <f t="shared" si="518"/>
        <v>40863.354808133037</v>
      </c>
      <c r="X384" s="181">
        <f t="shared" si="518"/>
        <v>38633.168841136991</v>
      </c>
      <c r="Y384" s="181">
        <f t="shared" si="518"/>
        <v>36523.899066188118</v>
      </c>
      <c r="Z384" s="181">
        <f t="shared" si="518"/>
        <v>34529.043889814042</v>
      </c>
      <c r="AA384" s="181">
        <f t="shared" si="518"/>
        <v>32642.447603508517</v>
      </c>
    </row>
    <row r="385" spans="2:27" x14ac:dyDescent="0.25">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x14ac:dyDescent="0.25">
      <c r="B386" s="42" t="s">
        <v>168</v>
      </c>
      <c r="C386" s="126" t="s">
        <v>47</v>
      </c>
      <c r="D386" s="127">
        <f>SUM(D384:AA384)</f>
        <v>121327.54854508548</v>
      </c>
      <c r="E386" s="40"/>
      <c r="F386" s="40"/>
      <c r="G386" s="40"/>
      <c r="H386" s="40"/>
    </row>
    <row r="388" spans="2:27" x14ac:dyDescent="0.25">
      <c r="B388" s="42" t="s">
        <v>118</v>
      </c>
      <c r="C388" s="42"/>
      <c r="D388" s="241">
        <f>IFERROR(IRR(D383:AA383),0)</f>
        <v>9.0743196407733873E-2</v>
      </c>
    </row>
    <row r="390" spans="2:27" x14ac:dyDescent="0.25">
      <c r="B390" s="42" t="s">
        <v>119</v>
      </c>
    </row>
    <row r="391" spans="2:27" x14ac:dyDescent="0.25">
      <c r="B391" s="3" t="s">
        <v>68</v>
      </c>
      <c r="C391" s="39"/>
      <c r="D391" s="21">
        <v>1</v>
      </c>
      <c r="E391" s="21">
        <v>2</v>
      </c>
      <c r="F391" s="21">
        <v>3</v>
      </c>
      <c r="G391" s="21">
        <v>4</v>
      </c>
      <c r="H391" s="21">
        <v>5</v>
      </c>
      <c r="I391" s="21">
        <v>6</v>
      </c>
      <c r="J391" s="21">
        <v>7</v>
      </c>
      <c r="K391" s="21">
        <v>8</v>
      </c>
      <c r="L391" s="21">
        <v>9</v>
      </c>
      <c r="M391" s="21">
        <v>10</v>
      </c>
      <c r="N391" s="21">
        <v>11</v>
      </c>
      <c r="O391" s="21">
        <v>12</v>
      </c>
      <c r="P391" s="21">
        <v>13</v>
      </c>
      <c r="Q391" s="21">
        <v>14</v>
      </c>
      <c r="R391" s="21">
        <v>15</v>
      </c>
      <c r="S391" s="21">
        <v>16</v>
      </c>
      <c r="T391" s="21">
        <v>17</v>
      </c>
      <c r="U391" s="21">
        <v>18</v>
      </c>
      <c r="V391" s="21">
        <v>19</v>
      </c>
      <c r="W391" s="21">
        <v>20</v>
      </c>
      <c r="X391" s="21">
        <v>21</v>
      </c>
      <c r="Y391" s="21">
        <v>22</v>
      </c>
      <c r="Z391" s="21">
        <v>23</v>
      </c>
      <c r="AA391" s="21">
        <v>24</v>
      </c>
    </row>
    <row r="392" spans="2:27" x14ac:dyDescent="0.25">
      <c r="B392" s="3" t="s">
        <v>117</v>
      </c>
      <c r="C392" s="125" t="s">
        <v>47</v>
      </c>
      <c r="D392" s="180">
        <f>D383</f>
        <v>-616027.45382051286</v>
      </c>
      <c r="E392" s="180">
        <f>E383</f>
        <v>-232664.9145299145</v>
      </c>
      <c r="F392" s="180">
        <f t="shared" ref="F392:AA392" si="519">F383</f>
        <v>-88497.948717948719</v>
      </c>
      <c r="G392" s="180">
        <f t="shared" si="519"/>
        <v>-21975.042735042749</v>
      </c>
      <c r="H392" s="180">
        <f t="shared" si="519"/>
        <v>6065.4700854700932</v>
      </c>
      <c r="I392" s="180">
        <f t="shared" si="519"/>
        <v>134438.1</v>
      </c>
      <c r="J392" s="180">
        <f t="shared" si="519"/>
        <v>136082.481</v>
      </c>
      <c r="K392" s="180">
        <f t="shared" si="519"/>
        <v>137743.30581000002</v>
      </c>
      <c r="L392" s="180">
        <f t="shared" si="519"/>
        <v>139420.73886810002</v>
      </c>
      <c r="M392" s="180">
        <f t="shared" si="519"/>
        <v>141114.94625678103</v>
      </c>
      <c r="N392" s="180">
        <f t="shared" si="519"/>
        <v>142826.09571934884</v>
      </c>
      <c r="O392" s="180">
        <f t="shared" si="519"/>
        <v>144554.35667654232</v>
      </c>
      <c r="P392" s="180">
        <f t="shared" si="519"/>
        <v>146299.90024330775</v>
      </c>
      <c r="Q392" s="180">
        <f t="shared" si="519"/>
        <v>148062.89924574082</v>
      </c>
      <c r="R392" s="180">
        <f t="shared" si="519"/>
        <v>149843.52823819823</v>
      </c>
      <c r="S392" s="180">
        <f t="shared" si="519"/>
        <v>151641.9635205802</v>
      </c>
      <c r="T392" s="180">
        <f t="shared" si="519"/>
        <v>153458.38315578602</v>
      </c>
      <c r="U392" s="180">
        <f t="shared" si="519"/>
        <v>155292.96698734388</v>
      </c>
      <c r="V392" s="180">
        <f t="shared" si="519"/>
        <v>157145.89665721732</v>
      </c>
      <c r="W392" s="180">
        <f t="shared" si="519"/>
        <v>159017.35562378948</v>
      </c>
      <c r="X392" s="180">
        <f t="shared" si="519"/>
        <v>160907.52918002737</v>
      </c>
      <c r="Y392" s="180">
        <f t="shared" si="519"/>
        <v>162816.60447182765</v>
      </c>
      <c r="Z392" s="180">
        <f t="shared" si="519"/>
        <v>164744.77051654592</v>
      </c>
      <c r="AA392" s="180">
        <f t="shared" si="519"/>
        <v>166692.2182217114</v>
      </c>
    </row>
    <row r="393" spans="2:27" x14ac:dyDescent="0.25">
      <c r="B393" s="128" t="s">
        <v>120</v>
      </c>
      <c r="C393" s="129" t="s">
        <v>47</v>
      </c>
      <c r="D393" s="242">
        <f>D372*1/(1+D364)</f>
        <v>615097.45382051286</v>
      </c>
      <c r="E393" s="242">
        <f>E372*1/(1+E364)*(1/(1+D364))</f>
        <v>269639.9145299145</v>
      </c>
      <c r="F393" s="242">
        <f>F372*1/(1+F364)*(1/(1+E364))*(1/(1+D364))</f>
        <v>184752.94871794872</v>
      </c>
      <c r="G393" s="242">
        <f>G372*1/(1+G364)*(1/(1+F364)*(1/(1+E364))*(1/(1+D364)))</f>
        <v>145970.04273504275</v>
      </c>
      <c r="H393" s="242">
        <f>H372*1/(1+$H$11)*(1/(1+$G$11)*(1/(1+$F$11)*(1/(1+$E$11))*(1/(1+$D$11))))</f>
        <v>96680.448786908251</v>
      </c>
    </row>
    <row r="394" spans="2:27" x14ac:dyDescent="0.25">
      <c r="B394" s="3" t="s">
        <v>121</v>
      </c>
      <c r="C394" s="125" t="s">
        <v>47</v>
      </c>
      <c r="D394" s="181">
        <f>D392-D393</f>
        <v>-1231124.9076410257</v>
      </c>
      <c r="E394" s="181">
        <f>D394+E392-E393</f>
        <v>-1733429.7367008547</v>
      </c>
      <c r="F394" s="181">
        <f>E394+F392-F393</f>
        <v>-2006680.6341367522</v>
      </c>
      <c r="G394" s="181">
        <f>F394+G392-G393</f>
        <v>-2174625.7196068377</v>
      </c>
      <c r="H394" s="181">
        <f>G394+H392-H393</f>
        <v>-2265240.698308276</v>
      </c>
      <c r="I394" s="181">
        <f t="shared" ref="I394" si="520">H394+I392</f>
        <v>-2130802.5983082759</v>
      </c>
      <c r="J394" s="181">
        <f t="shared" ref="J394" si="521">I394+J392</f>
        <v>-1994720.117308276</v>
      </c>
      <c r="K394" s="181">
        <f t="shared" ref="K394" si="522">J394+K392</f>
        <v>-1856976.811498276</v>
      </c>
      <c r="L394" s="181">
        <f t="shared" ref="L394" si="523">K394+L392</f>
        <v>-1717556.0726301759</v>
      </c>
      <c r="M394" s="181">
        <f t="shared" ref="M394" si="524">L394+M392</f>
        <v>-1576441.1263733949</v>
      </c>
      <c r="N394" s="181">
        <f t="shared" ref="N394" si="525">M394+N392</f>
        <v>-1433615.030654046</v>
      </c>
      <c r="O394" s="181">
        <f t="shared" ref="O394" si="526">N394+O392</f>
        <v>-1289060.6739775036</v>
      </c>
      <c r="P394" s="181">
        <f t="shared" ref="P394" si="527">O394+P392</f>
        <v>-1142760.7737341959</v>
      </c>
      <c r="Q394" s="181">
        <f t="shared" ref="Q394" si="528">P394+Q392</f>
        <v>-994697.87448845501</v>
      </c>
      <c r="R394" s="181">
        <f t="shared" ref="R394" si="529">Q394+R392</f>
        <v>-844854.34625025676</v>
      </c>
      <c r="S394" s="181">
        <f t="shared" ref="S394" si="530">R394+S392</f>
        <v>-693212.38272967655</v>
      </c>
      <c r="T394" s="181">
        <f t="shared" ref="T394" si="531">S394+T392</f>
        <v>-539753.99957389059</v>
      </c>
      <c r="U394" s="181">
        <f t="shared" ref="U394" si="532">T394+U392</f>
        <v>-384461.03258654673</v>
      </c>
      <c r="V394" s="181">
        <f t="shared" ref="V394" si="533">U394+V392</f>
        <v>-227315.13592932941</v>
      </c>
      <c r="W394" s="181">
        <f t="shared" ref="W394" si="534">V394+W392</f>
        <v>-68297.780305539927</v>
      </c>
      <c r="X394" s="181">
        <f t="shared" ref="X394" si="535">W394+X392</f>
        <v>92609.748874487443</v>
      </c>
      <c r="Y394" s="181">
        <f t="shared" ref="Y394" si="536">X394+Y392</f>
        <v>255426.3533463151</v>
      </c>
      <c r="Z394" s="181">
        <f t="shared" ref="Z394" si="537">Y394+Z392</f>
        <v>420171.12386286102</v>
      </c>
      <c r="AA394" s="181">
        <f t="shared" ref="AA394" si="538">Z394+AA392</f>
        <v>586863.34208457242</v>
      </c>
    </row>
    <row r="395" spans="2:27" x14ac:dyDescent="0.25">
      <c r="B395" s="130" t="s">
        <v>122</v>
      </c>
    </row>
    <row r="397" spans="2:27" ht="15.75" x14ac:dyDescent="0.25">
      <c r="B397" s="448" t="s">
        <v>312</v>
      </c>
      <c r="C397" s="449"/>
      <c r="D397" s="449"/>
      <c r="E397" s="449"/>
      <c r="F397" s="449"/>
      <c r="G397" s="449"/>
      <c r="H397" s="449"/>
      <c r="I397" s="449"/>
      <c r="J397" s="449"/>
      <c r="K397" s="449"/>
      <c r="L397" s="449"/>
      <c r="M397" s="449"/>
      <c r="N397" s="449"/>
      <c r="O397" s="449"/>
      <c r="P397" s="449"/>
      <c r="Q397" s="449"/>
      <c r="R397" s="449"/>
      <c r="S397" s="449"/>
      <c r="T397" s="449"/>
      <c r="U397" s="449"/>
      <c r="V397" s="449"/>
      <c r="W397" s="449"/>
      <c r="X397" s="449"/>
      <c r="Y397" s="449"/>
      <c r="Z397" s="449"/>
      <c r="AA397" s="449"/>
    </row>
    <row r="398" spans="2:27" ht="15.75" x14ac:dyDescent="0.25">
      <c r="B398" s="116"/>
      <c r="C398" s="116"/>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row>
    <row r="399" spans="2:27" x14ac:dyDescent="0.25">
      <c r="B399" s="118" t="s">
        <v>105</v>
      </c>
      <c r="C399" s="110"/>
    </row>
    <row r="400" spans="2:27" x14ac:dyDescent="0.25">
      <c r="B400" s="3"/>
      <c r="C400" s="27" t="s">
        <v>20</v>
      </c>
      <c r="D400" s="27">
        <f>$C$3</f>
        <v>2023</v>
      </c>
      <c r="E400" s="27">
        <f>$C$3+1</f>
        <v>2024</v>
      </c>
      <c r="F400" s="27">
        <f>$C$3+2</f>
        <v>2025</v>
      </c>
      <c r="G400" s="27">
        <f>$C$3+3</f>
        <v>2026</v>
      </c>
      <c r="H400" s="27">
        <f>$C$3+4</f>
        <v>2027</v>
      </c>
      <c r="I400" s="27">
        <f>H400+1</f>
        <v>2028</v>
      </c>
      <c r="J400" s="27">
        <f t="shared" ref="J400" si="539">I400+1</f>
        <v>2029</v>
      </c>
      <c r="K400" s="27">
        <f t="shared" ref="K400" si="540">J400+1</f>
        <v>2030</v>
      </c>
      <c r="L400" s="27">
        <f t="shared" ref="L400" si="541">K400+1</f>
        <v>2031</v>
      </c>
      <c r="M400" s="27">
        <f t="shared" ref="M400" si="542">L400+1</f>
        <v>2032</v>
      </c>
      <c r="N400" s="27">
        <f t="shared" ref="N400" si="543">M400+1</f>
        <v>2033</v>
      </c>
      <c r="O400" s="27">
        <f t="shared" ref="O400" si="544">N400+1</f>
        <v>2034</v>
      </c>
      <c r="P400" s="27">
        <f t="shared" ref="P400" si="545">O400+1</f>
        <v>2035</v>
      </c>
      <c r="Q400" s="27">
        <f t="shared" ref="Q400" si="546">P400+1</f>
        <v>2036</v>
      </c>
      <c r="R400" s="27">
        <f t="shared" ref="R400" si="547">Q400+1</f>
        <v>2037</v>
      </c>
      <c r="S400" s="27">
        <f t="shared" ref="S400" si="548">R400+1</f>
        <v>2038</v>
      </c>
      <c r="T400" s="27">
        <f t="shared" ref="T400" si="549">S400+1</f>
        <v>2039</v>
      </c>
      <c r="U400" s="27">
        <f t="shared" ref="U400" si="550">T400+1</f>
        <v>2040</v>
      </c>
      <c r="V400" s="27">
        <f t="shared" ref="V400" si="551">U400+1</f>
        <v>2041</v>
      </c>
      <c r="W400" s="27">
        <f t="shared" ref="W400" si="552">V400+1</f>
        <v>2042</v>
      </c>
      <c r="X400" s="27">
        <f t="shared" ref="X400" si="553">W400+1</f>
        <v>2043</v>
      </c>
      <c r="Y400" s="27">
        <f t="shared" ref="Y400" si="554">X400+1</f>
        <v>2044</v>
      </c>
      <c r="Z400" s="27">
        <f t="shared" ref="Z400" si="555">Y400+1</f>
        <v>2045</v>
      </c>
      <c r="AA400" s="27">
        <f t="shared" ref="AA400" si="556">Z400+1</f>
        <v>2046</v>
      </c>
    </row>
    <row r="401" spans="2:27" x14ac:dyDescent="0.25">
      <c r="B401" s="3" t="s">
        <v>68</v>
      </c>
      <c r="C401" s="39"/>
      <c r="D401" s="21">
        <v>1</v>
      </c>
      <c r="E401" s="21">
        <v>2</v>
      </c>
      <c r="F401" s="21">
        <v>3</v>
      </c>
      <c r="G401" s="21">
        <v>4</v>
      </c>
      <c r="H401" s="21">
        <v>5</v>
      </c>
      <c r="I401" s="21">
        <v>6</v>
      </c>
      <c r="J401" s="21">
        <v>7</v>
      </c>
      <c r="K401" s="21">
        <v>8</v>
      </c>
      <c r="L401" s="21">
        <v>9</v>
      </c>
      <c r="M401" s="21">
        <v>10</v>
      </c>
      <c r="N401" s="21">
        <v>11</v>
      </c>
      <c r="O401" s="21">
        <v>12</v>
      </c>
      <c r="P401" s="21">
        <v>13</v>
      </c>
      <c r="Q401" s="21">
        <v>14</v>
      </c>
      <c r="R401" s="21">
        <v>15</v>
      </c>
      <c r="S401" s="21">
        <v>16</v>
      </c>
      <c r="T401" s="21">
        <v>17</v>
      </c>
      <c r="U401" s="21">
        <v>18</v>
      </c>
      <c r="V401" s="21">
        <v>19</v>
      </c>
      <c r="W401" s="21">
        <v>20</v>
      </c>
      <c r="X401" s="21">
        <v>21</v>
      </c>
      <c r="Y401" s="21">
        <v>22</v>
      </c>
      <c r="Z401" s="21">
        <v>23</v>
      </c>
      <c r="AA401" s="21">
        <v>24</v>
      </c>
    </row>
    <row r="402" spans="2:27" x14ac:dyDescent="0.25">
      <c r="B402" s="446" t="s">
        <v>106</v>
      </c>
      <c r="C402" s="447"/>
      <c r="D402" s="447"/>
      <c r="E402" s="447"/>
      <c r="F402" s="447"/>
      <c r="G402" s="447"/>
      <c r="H402" s="447"/>
      <c r="I402" s="447"/>
      <c r="J402" s="447"/>
      <c r="K402" s="447"/>
      <c r="L402" s="447"/>
      <c r="M402" s="447"/>
      <c r="N402" s="447"/>
      <c r="O402" s="447"/>
      <c r="P402" s="447"/>
      <c r="Q402" s="447"/>
      <c r="R402" s="447"/>
      <c r="S402" s="447"/>
      <c r="T402" s="447"/>
      <c r="U402" s="447"/>
      <c r="V402" s="447"/>
      <c r="W402" s="447"/>
      <c r="X402" s="447"/>
      <c r="Y402" s="447"/>
      <c r="Z402" s="447"/>
      <c r="AA402" s="447"/>
    </row>
    <row r="403" spans="2:27" x14ac:dyDescent="0.25">
      <c r="B403" s="3" t="s">
        <v>167</v>
      </c>
      <c r="C403" s="119" t="s">
        <v>47</v>
      </c>
      <c r="D403" s="36">
        <f>(Επενδύσεις!D23)*0.5</f>
        <v>636829.58721794875</v>
      </c>
      <c r="E403" s="36">
        <f>(Επενδύσεις!E23)*0.5</f>
        <v>232294.91452991453</v>
      </c>
      <c r="F403" s="36">
        <f>(Επενδύσεις!F23)*0.5</f>
        <v>137712.22222222222</v>
      </c>
      <c r="G403" s="36">
        <f>(Επενδύσεις!G23)*0.5</f>
        <v>103777.17948717948</v>
      </c>
      <c r="H403" s="36">
        <f>(Επενδύσεις!H23)*0.5</f>
        <v>61099.529914529914</v>
      </c>
      <c r="I403" s="120"/>
      <c r="J403" s="120"/>
      <c r="K403" s="120"/>
      <c r="L403" s="120"/>
      <c r="M403" s="120"/>
      <c r="N403" s="120"/>
      <c r="O403" s="120"/>
      <c r="P403" s="120"/>
      <c r="Q403" s="120"/>
      <c r="R403" s="120"/>
      <c r="S403" s="120"/>
      <c r="T403" s="120"/>
      <c r="U403" s="120"/>
      <c r="V403" s="120"/>
      <c r="W403" s="120"/>
      <c r="X403" s="120"/>
      <c r="Y403" s="120"/>
      <c r="Z403" s="120"/>
      <c r="AA403" s="120"/>
    </row>
    <row r="404" spans="2:27" x14ac:dyDescent="0.25">
      <c r="B404" s="3" t="s">
        <v>107</v>
      </c>
      <c r="C404" s="119" t="s">
        <v>47</v>
      </c>
      <c r="D404" s="120"/>
      <c r="E404" s="120"/>
      <c r="F404" s="120"/>
      <c r="G404" s="120"/>
      <c r="H404" s="120"/>
      <c r="I404" s="36"/>
      <c r="J404" s="36"/>
      <c r="K404" s="36"/>
      <c r="L404" s="36"/>
      <c r="M404" s="36"/>
      <c r="N404" s="36"/>
      <c r="O404" s="36"/>
      <c r="P404" s="36"/>
      <c r="Q404" s="36"/>
      <c r="R404" s="36"/>
      <c r="S404" s="36"/>
      <c r="T404" s="36"/>
      <c r="U404" s="36"/>
      <c r="V404" s="36"/>
      <c r="W404" s="36"/>
      <c r="X404" s="36"/>
      <c r="Y404" s="36"/>
      <c r="Z404" s="36"/>
      <c r="AA404" s="36"/>
    </row>
    <row r="405" spans="2:27" x14ac:dyDescent="0.25">
      <c r="B405" s="3" t="s">
        <v>108</v>
      </c>
      <c r="C405" s="121" t="s">
        <v>47</v>
      </c>
      <c r="D405" s="36">
        <v>30000</v>
      </c>
      <c r="E405" s="36">
        <v>30000</v>
      </c>
      <c r="F405" s="36">
        <v>30000</v>
      </c>
      <c r="G405" s="36">
        <v>30000</v>
      </c>
      <c r="H405" s="36">
        <v>30000</v>
      </c>
      <c r="I405" s="36">
        <v>30000</v>
      </c>
      <c r="J405" s="36">
        <f>I405</f>
        <v>30000</v>
      </c>
      <c r="K405" s="36">
        <f t="shared" ref="K405" si="557">J405</f>
        <v>30000</v>
      </c>
      <c r="L405" s="36">
        <f t="shared" ref="L405" si="558">K405</f>
        <v>30000</v>
      </c>
      <c r="M405" s="36">
        <f t="shared" ref="M405" si="559">L405</f>
        <v>30000</v>
      </c>
      <c r="N405" s="36">
        <f t="shared" ref="N405" si="560">M405</f>
        <v>30000</v>
      </c>
      <c r="O405" s="36">
        <f t="shared" ref="O405" si="561">N405</f>
        <v>30000</v>
      </c>
      <c r="P405" s="36">
        <f t="shared" ref="P405" si="562">O405</f>
        <v>30000</v>
      </c>
      <c r="Q405" s="36">
        <f t="shared" ref="Q405" si="563">P405</f>
        <v>30000</v>
      </c>
      <c r="R405" s="36">
        <f t="shared" ref="R405" si="564">Q405</f>
        <v>30000</v>
      </c>
      <c r="S405" s="36">
        <f t="shared" ref="S405" si="565">R405</f>
        <v>30000</v>
      </c>
      <c r="T405" s="36">
        <f t="shared" ref="T405" si="566">S405</f>
        <v>30000</v>
      </c>
      <c r="U405" s="36">
        <f t="shared" ref="U405" si="567">T405</f>
        <v>30000</v>
      </c>
      <c r="V405" s="36">
        <f t="shared" ref="V405" si="568">U405</f>
        <v>30000</v>
      </c>
      <c r="W405" s="36">
        <f t="shared" ref="W405" si="569">V405</f>
        <v>30000</v>
      </c>
      <c r="X405" s="36">
        <f t="shared" ref="X405" si="570">W405</f>
        <v>30000</v>
      </c>
      <c r="Y405" s="36">
        <f t="shared" ref="Y405" si="571">X405</f>
        <v>30000</v>
      </c>
      <c r="Z405" s="36">
        <f t="shared" ref="Z405" si="572">Y405</f>
        <v>30000</v>
      </c>
      <c r="AA405" s="36">
        <f t="shared" ref="AA405" si="573">Z405</f>
        <v>30000</v>
      </c>
    </row>
    <row r="406" spans="2:27" x14ac:dyDescent="0.25">
      <c r="B406" s="122" t="s">
        <v>109</v>
      </c>
      <c r="C406" s="121" t="s">
        <v>47</v>
      </c>
      <c r="D406" s="240">
        <f>D403+D405</f>
        <v>666829.58721794875</v>
      </c>
      <c r="E406" s="240">
        <f>E403+E405</f>
        <v>262294.9145299145</v>
      </c>
      <c r="F406" s="240">
        <f>F403+F405</f>
        <v>167712.22222222222</v>
      </c>
      <c r="G406" s="240">
        <f>G403+G405</f>
        <v>133777.1794871795</v>
      </c>
      <c r="H406" s="240">
        <f>H403+H405</f>
        <v>91099.529914529907</v>
      </c>
      <c r="I406" s="240">
        <f>I404+I405</f>
        <v>30000</v>
      </c>
      <c r="J406" s="240">
        <f t="shared" ref="J406:AA406" si="574">J404+J405</f>
        <v>30000</v>
      </c>
      <c r="K406" s="240">
        <f t="shared" si="574"/>
        <v>30000</v>
      </c>
      <c r="L406" s="240">
        <f t="shared" si="574"/>
        <v>30000</v>
      </c>
      <c r="M406" s="240">
        <f t="shared" si="574"/>
        <v>30000</v>
      </c>
      <c r="N406" s="240">
        <f t="shared" si="574"/>
        <v>30000</v>
      </c>
      <c r="O406" s="240">
        <f t="shared" si="574"/>
        <v>30000</v>
      </c>
      <c r="P406" s="240">
        <f t="shared" si="574"/>
        <v>30000</v>
      </c>
      <c r="Q406" s="240">
        <f t="shared" si="574"/>
        <v>30000</v>
      </c>
      <c r="R406" s="240">
        <f t="shared" si="574"/>
        <v>30000</v>
      </c>
      <c r="S406" s="240">
        <f t="shared" si="574"/>
        <v>30000</v>
      </c>
      <c r="T406" s="240">
        <f t="shared" si="574"/>
        <v>30000</v>
      </c>
      <c r="U406" s="240">
        <f t="shared" si="574"/>
        <v>30000</v>
      </c>
      <c r="V406" s="240">
        <f t="shared" si="574"/>
        <v>30000</v>
      </c>
      <c r="W406" s="240">
        <f t="shared" si="574"/>
        <v>30000</v>
      </c>
      <c r="X406" s="240">
        <f t="shared" si="574"/>
        <v>30000</v>
      </c>
      <c r="Y406" s="240">
        <f t="shared" si="574"/>
        <v>30000</v>
      </c>
      <c r="Z406" s="240">
        <f t="shared" si="574"/>
        <v>30000</v>
      </c>
      <c r="AA406" s="240">
        <f t="shared" si="574"/>
        <v>30000</v>
      </c>
    </row>
    <row r="407" spans="2:27" x14ac:dyDescent="0.25">
      <c r="B407" s="17" t="s">
        <v>110</v>
      </c>
    </row>
    <row r="408" spans="2:27" x14ac:dyDescent="0.25">
      <c r="B408" s="17" t="s">
        <v>111</v>
      </c>
    </row>
    <row r="409" spans="2:27" x14ac:dyDescent="0.25">
      <c r="B409" s="446" t="s">
        <v>112</v>
      </c>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row>
    <row r="410" spans="2:27" x14ac:dyDescent="0.25">
      <c r="B410" s="123" t="s">
        <v>113</v>
      </c>
      <c r="C410" s="119" t="s">
        <v>26</v>
      </c>
      <c r="D410" s="36">
        <f>'Διανεμόμενες ποσότητες αερίου'!T26</f>
        <v>1435</v>
      </c>
      <c r="E410" s="36">
        <f>'Διανεμόμενες ποσότητες αερίου'!Z26</f>
        <v>3430</v>
      </c>
      <c r="F410" s="36">
        <f>'Διανεμόμενες ποσότητες αερίου'!AF26</f>
        <v>6150</v>
      </c>
      <c r="G410" s="36">
        <f>'Διανεμόμενες ποσότητες αερίου'!AL26</f>
        <v>7410</v>
      </c>
      <c r="H410" s="36">
        <f>'Διανεμόμενες ποσότητες αερίου'!AR25</f>
        <v>9045</v>
      </c>
      <c r="I410" s="36">
        <f>H410*1.01</f>
        <v>9135.4500000000007</v>
      </c>
      <c r="J410" s="36">
        <f t="shared" ref="J410" si="575">I410*1.01</f>
        <v>9226.8045000000002</v>
      </c>
      <c r="K410" s="36">
        <f t="shared" ref="K410" si="576">J410*1.01</f>
        <v>9319.0725450000009</v>
      </c>
      <c r="L410" s="36">
        <f t="shared" ref="L410" si="577">K410*1.01</f>
        <v>9412.2632704500011</v>
      </c>
      <c r="M410" s="36">
        <f t="shared" ref="M410" si="578">L410*1.01</f>
        <v>9506.3859031545016</v>
      </c>
      <c r="N410" s="36">
        <f t="shared" ref="N410" si="579">M410*1.01</f>
        <v>9601.4497621860464</v>
      </c>
      <c r="O410" s="36">
        <f t="shared" ref="O410" si="580">N410*1.01</f>
        <v>9697.4642598079063</v>
      </c>
      <c r="P410" s="36">
        <f t="shared" ref="P410" si="581">O410*1.01</f>
        <v>9794.4389024059856</v>
      </c>
      <c r="Q410" s="36">
        <f t="shared" ref="Q410" si="582">P410*1.01</f>
        <v>9892.3832914300456</v>
      </c>
      <c r="R410" s="36">
        <f t="shared" ref="R410" si="583">Q410*1.01</f>
        <v>9991.3071243443464</v>
      </c>
      <c r="S410" s="36">
        <f t="shared" ref="S410" si="584">R410*1.01</f>
        <v>10091.22019558779</v>
      </c>
      <c r="T410" s="36">
        <f t="shared" ref="T410" si="585">S410*1.01</f>
        <v>10192.132397543668</v>
      </c>
      <c r="U410" s="36">
        <f t="shared" ref="U410" si="586">T410*1.01</f>
        <v>10294.053721519105</v>
      </c>
      <c r="V410" s="36">
        <f t="shared" ref="V410" si="587">U410*1.01</f>
        <v>10396.994258734296</v>
      </c>
      <c r="W410" s="36">
        <f t="shared" ref="W410" si="588">V410*1.01</f>
        <v>10500.964201321638</v>
      </c>
      <c r="X410" s="36">
        <f t="shared" ref="X410" si="589">W410*1.01</f>
        <v>10605.973843334854</v>
      </c>
      <c r="Y410" s="36">
        <f t="shared" ref="Y410" si="590">X410*1.01</f>
        <v>10712.033581768203</v>
      </c>
      <c r="Z410" s="36">
        <f t="shared" ref="Z410" si="591">Y410*1.01</f>
        <v>10819.153917585885</v>
      </c>
      <c r="AA410" s="36">
        <f t="shared" ref="AA410" si="592">Z410*1.01</f>
        <v>10927.345456761745</v>
      </c>
    </row>
    <row r="411" spans="2:27" x14ac:dyDescent="0.25">
      <c r="B411" s="123" t="s">
        <v>114</v>
      </c>
      <c r="C411" s="121" t="s">
        <v>47</v>
      </c>
      <c r="D411" s="180">
        <f>D410*18</f>
        <v>25830</v>
      </c>
      <c r="E411" s="180">
        <f t="shared" ref="E411:H411" si="593">E410*18</f>
        <v>61740</v>
      </c>
      <c r="F411" s="180">
        <f t="shared" si="593"/>
        <v>110700</v>
      </c>
      <c r="G411" s="180">
        <f t="shared" si="593"/>
        <v>133380</v>
      </c>
      <c r="H411" s="180">
        <f t="shared" si="593"/>
        <v>162810</v>
      </c>
      <c r="I411" s="180">
        <f>I410*17</f>
        <v>155302.65000000002</v>
      </c>
      <c r="J411" s="180">
        <f t="shared" ref="J411:AA411" si="594">J410*17</f>
        <v>156855.6765</v>
      </c>
      <c r="K411" s="180">
        <f t="shared" si="594"/>
        <v>158424.23326500002</v>
      </c>
      <c r="L411" s="180">
        <f t="shared" si="594"/>
        <v>160008.47559765002</v>
      </c>
      <c r="M411" s="180">
        <f t="shared" si="594"/>
        <v>161608.56035362653</v>
      </c>
      <c r="N411" s="180">
        <f t="shared" si="594"/>
        <v>163224.64595716278</v>
      </c>
      <c r="O411" s="180">
        <f t="shared" si="594"/>
        <v>164856.89241673439</v>
      </c>
      <c r="P411" s="180">
        <f t="shared" si="594"/>
        <v>166505.46134090176</v>
      </c>
      <c r="Q411" s="180">
        <f t="shared" si="594"/>
        <v>168170.51595431077</v>
      </c>
      <c r="R411" s="180">
        <f t="shared" si="594"/>
        <v>169852.22111385388</v>
      </c>
      <c r="S411" s="180">
        <f t="shared" si="594"/>
        <v>171550.74332499242</v>
      </c>
      <c r="T411" s="180">
        <f t="shared" si="594"/>
        <v>173266.25075824236</v>
      </c>
      <c r="U411" s="180">
        <f t="shared" si="594"/>
        <v>174998.91326582478</v>
      </c>
      <c r="V411" s="180">
        <f t="shared" si="594"/>
        <v>176748.90239848301</v>
      </c>
      <c r="W411" s="180">
        <f t="shared" si="594"/>
        <v>178516.39142246786</v>
      </c>
      <c r="X411" s="180">
        <f t="shared" si="594"/>
        <v>180301.55533669252</v>
      </c>
      <c r="Y411" s="180">
        <f t="shared" si="594"/>
        <v>182104.57089005943</v>
      </c>
      <c r="Z411" s="180">
        <f t="shared" si="594"/>
        <v>183925.61659896004</v>
      </c>
      <c r="AA411" s="180">
        <f t="shared" si="594"/>
        <v>185764.87276494966</v>
      </c>
    </row>
    <row r="412" spans="2:27" x14ac:dyDescent="0.25">
      <c r="B412" s="122" t="s">
        <v>115</v>
      </c>
      <c r="C412" s="121" t="s">
        <v>47</v>
      </c>
      <c r="D412" s="240">
        <f>D411</f>
        <v>25830</v>
      </c>
      <c r="E412" s="240">
        <f t="shared" ref="E412:G412" si="595">E411</f>
        <v>61740</v>
      </c>
      <c r="F412" s="240">
        <f t="shared" si="595"/>
        <v>110700</v>
      </c>
      <c r="G412" s="240">
        <f t="shared" si="595"/>
        <v>133380</v>
      </c>
      <c r="H412" s="240">
        <f>H411</f>
        <v>162810</v>
      </c>
      <c r="I412" s="240">
        <f t="shared" ref="I412:AA412" si="596">I411</f>
        <v>155302.65000000002</v>
      </c>
      <c r="J412" s="240">
        <f t="shared" si="596"/>
        <v>156855.6765</v>
      </c>
      <c r="K412" s="240">
        <f t="shared" si="596"/>
        <v>158424.23326500002</v>
      </c>
      <c r="L412" s="240">
        <f t="shared" si="596"/>
        <v>160008.47559765002</v>
      </c>
      <c r="M412" s="240">
        <f t="shared" si="596"/>
        <v>161608.56035362653</v>
      </c>
      <c r="N412" s="240">
        <f t="shared" si="596"/>
        <v>163224.64595716278</v>
      </c>
      <c r="O412" s="240">
        <f t="shared" si="596"/>
        <v>164856.89241673439</v>
      </c>
      <c r="P412" s="240">
        <f t="shared" si="596"/>
        <v>166505.46134090176</v>
      </c>
      <c r="Q412" s="240">
        <f t="shared" si="596"/>
        <v>168170.51595431077</v>
      </c>
      <c r="R412" s="240">
        <f t="shared" si="596"/>
        <v>169852.22111385388</v>
      </c>
      <c r="S412" s="240">
        <f t="shared" si="596"/>
        <v>171550.74332499242</v>
      </c>
      <c r="T412" s="240">
        <f t="shared" si="596"/>
        <v>173266.25075824236</v>
      </c>
      <c r="U412" s="240">
        <f t="shared" si="596"/>
        <v>174998.91326582478</v>
      </c>
      <c r="V412" s="240">
        <f t="shared" si="596"/>
        <v>176748.90239848301</v>
      </c>
      <c r="W412" s="240">
        <f t="shared" si="596"/>
        <v>178516.39142246786</v>
      </c>
      <c r="X412" s="240">
        <f t="shared" si="596"/>
        <v>180301.55533669252</v>
      </c>
      <c r="Y412" s="240">
        <f t="shared" si="596"/>
        <v>182104.57089005943</v>
      </c>
      <c r="Z412" s="240">
        <f t="shared" si="596"/>
        <v>183925.61659896004</v>
      </c>
      <c r="AA412" s="240">
        <f t="shared" si="596"/>
        <v>185764.87276494966</v>
      </c>
    </row>
    <row r="413" spans="2:27" x14ac:dyDescent="0.25">
      <c r="B413" s="124" t="s">
        <v>116</v>
      </c>
    </row>
    <row r="414" spans="2:27" x14ac:dyDescent="0.25">
      <c r="B414" s="3" t="s">
        <v>117</v>
      </c>
      <c r="C414" s="125" t="s">
        <v>47</v>
      </c>
      <c r="D414" s="181">
        <f>D412-D406</f>
        <v>-640999.58721794875</v>
      </c>
      <c r="E414" s="181">
        <f t="shared" ref="E414:AA414" si="597">E412-E406</f>
        <v>-200554.9145299145</v>
      </c>
      <c r="F414" s="181">
        <f t="shared" si="597"/>
        <v>-57012.222222222219</v>
      </c>
      <c r="G414" s="181">
        <f t="shared" si="597"/>
        <v>-397.17948717949912</v>
      </c>
      <c r="H414" s="181">
        <f t="shared" si="597"/>
        <v>71710.470085470093</v>
      </c>
      <c r="I414" s="181">
        <f t="shared" si="597"/>
        <v>125302.65000000002</v>
      </c>
      <c r="J414" s="181">
        <f t="shared" si="597"/>
        <v>126855.6765</v>
      </c>
      <c r="K414" s="181">
        <f t="shared" si="597"/>
        <v>128424.23326500002</v>
      </c>
      <c r="L414" s="181">
        <f t="shared" si="597"/>
        <v>130008.47559765002</v>
      </c>
      <c r="M414" s="181">
        <f t="shared" si="597"/>
        <v>131608.56035362653</v>
      </c>
      <c r="N414" s="181">
        <f t="shared" si="597"/>
        <v>133224.64595716278</v>
      </c>
      <c r="O414" s="181">
        <f t="shared" si="597"/>
        <v>134856.89241673439</v>
      </c>
      <c r="P414" s="181">
        <f t="shared" si="597"/>
        <v>136505.46134090176</v>
      </c>
      <c r="Q414" s="181">
        <f t="shared" si="597"/>
        <v>138170.51595431077</v>
      </c>
      <c r="R414" s="181">
        <f t="shared" si="597"/>
        <v>139852.22111385388</v>
      </c>
      <c r="S414" s="181">
        <f t="shared" si="597"/>
        <v>141550.74332499242</v>
      </c>
      <c r="T414" s="181">
        <f t="shared" si="597"/>
        <v>143266.25075824236</v>
      </c>
      <c r="U414" s="181">
        <f t="shared" si="597"/>
        <v>144998.91326582478</v>
      </c>
      <c r="V414" s="181">
        <f t="shared" si="597"/>
        <v>146748.90239848301</v>
      </c>
      <c r="W414" s="181">
        <f t="shared" si="597"/>
        <v>148516.39142246786</v>
      </c>
      <c r="X414" s="181">
        <f t="shared" si="597"/>
        <v>150301.55533669252</v>
      </c>
      <c r="Y414" s="181">
        <f t="shared" si="597"/>
        <v>152104.57089005943</v>
      </c>
      <c r="Z414" s="181">
        <f t="shared" si="597"/>
        <v>153925.61659896004</v>
      </c>
      <c r="AA414" s="181">
        <f t="shared" si="597"/>
        <v>155764.87276494966</v>
      </c>
    </row>
    <row r="415" spans="2:27" x14ac:dyDescent="0.25">
      <c r="B415" s="3" t="s">
        <v>69</v>
      </c>
      <c r="C415" s="125" t="s">
        <v>47</v>
      </c>
      <c r="D415" s="181">
        <f>D414*1/(1+D395)</f>
        <v>-640999.58721794875</v>
      </c>
      <c r="E415" s="181">
        <f>E414*1/(1+E395)*(1/(1+D395))</f>
        <v>-200554.9145299145</v>
      </c>
      <c r="F415" s="181">
        <f>F414*1/(1+F395)*(1/(1+E395))*(1/(1+D395))</f>
        <v>-57012.222222222219</v>
      </c>
      <c r="G415" s="181">
        <f>G414*1/(1+G395)*(1/(1+F395)*(1/(1+E395))*(1/(1+D395)))</f>
        <v>-397.17948717949912</v>
      </c>
      <c r="H415" s="181">
        <f>H414*1/(1+$H$11)*(1/(1+$G$11)*(1/(1+$F$11)*(1/(1+$E$11))*(1/(1+$D$11))))</f>
        <v>51056.958772500722</v>
      </c>
      <c r="I415" s="181">
        <f t="shared" ref="I415:AA415" si="598">I414*(1/((1+$H$11)^(I401-$G$18))*(1/(1+$G$11)*(1/(1+$F$11)*(1/(1+$E$11))*((1/(1+$D$11))))))</f>
        <v>83354.126233378905</v>
      </c>
      <c r="J415" s="181">
        <f t="shared" si="598"/>
        <v>78844.468100298618</v>
      </c>
      <c r="K415" s="181">
        <f t="shared" si="598"/>
        <v>74576.63407362366</v>
      </c>
      <c r="L415" s="181">
        <f t="shared" si="598"/>
        <v>70537.804360542665</v>
      </c>
      <c r="M415" s="181">
        <f t="shared" si="598"/>
        <v>66715.828590714314</v>
      </c>
      <c r="N415" s="181">
        <f t="shared" si="598"/>
        <v>63099.191571862175</v>
      </c>
      <c r="O415" s="181">
        <f t="shared" si="598"/>
        <v>59676.980746731322</v>
      </c>
      <c r="P415" s="181">
        <f t="shared" si="598"/>
        <v>56438.855270524851</v>
      </c>
      <c r="Q415" s="181">
        <f t="shared" si="598"/>
        <v>53375.016631512211</v>
      </c>
      <c r="R415" s="181">
        <f t="shared" si="598"/>
        <v>50476.180740938144</v>
      </c>
      <c r="S415" s="181">
        <f t="shared" si="598"/>
        <v>47733.551421663717</v>
      </c>
      <c r="T415" s="181">
        <f t="shared" si="598"/>
        <v>45138.795228145551</v>
      </c>
      <c r="U415" s="181">
        <f t="shared" si="598"/>
        <v>42684.017533406266</v>
      </c>
      <c r="V415" s="181">
        <f t="shared" si="598"/>
        <v>40361.739821574331</v>
      </c>
      <c r="W415" s="181">
        <f t="shared" si="598"/>
        <v>38164.878127378113</v>
      </c>
      <c r="X415" s="181">
        <f t="shared" si="598"/>
        <v>36086.722566669574</v>
      </c>
      <c r="Y415" s="181">
        <f t="shared" si="598"/>
        <v>34120.917904633323</v>
      </c>
      <c r="Z415" s="181">
        <f t="shared" si="598"/>
        <v>32261.445110807843</v>
      </c>
      <c r="AA415" s="181">
        <f t="shared" si="598"/>
        <v>30502.603852414184</v>
      </c>
    </row>
    <row r="416" spans="2:27" x14ac:dyDescent="0.25">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x14ac:dyDescent="0.25">
      <c r="B417" s="42" t="s">
        <v>168</v>
      </c>
      <c r="C417" s="126" t="s">
        <v>47</v>
      </c>
      <c r="D417" s="127">
        <f>SUM(D415:AA415)</f>
        <v>156242.81320205558</v>
      </c>
      <c r="E417" s="40"/>
      <c r="F417" s="40"/>
      <c r="G417" s="40"/>
      <c r="H417" s="40"/>
    </row>
    <row r="419" spans="2:27" x14ac:dyDescent="0.25">
      <c r="B419" s="42" t="s">
        <v>118</v>
      </c>
      <c r="C419" s="42"/>
      <c r="D419" s="241">
        <f>IFERROR(IRR(D414:AA414),0)</f>
        <v>9.4370373340091351E-2</v>
      </c>
    </row>
    <row r="421" spans="2:27" x14ac:dyDescent="0.25">
      <c r="B421" s="42" t="s">
        <v>119</v>
      </c>
    </row>
    <row r="422" spans="2:27" x14ac:dyDescent="0.25">
      <c r="B422" s="3" t="s">
        <v>68</v>
      </c>
      <c r="C422" s="39"/>
      <c r="D422" s="21">
        <v>1</v>
      </c>
      <c r="E422" s="21">
        <v>2</v>
      </c>
      <c r="F422" s="21">
        <v>3</v>
      </c>
      <c r="G422" s="21">
        <v>4</v>
      </c>
      <c r="H422" s="21">
        <v>5</v>
      </c>
      <c r="I422" s="21">
        <v>6</v>
      </c>
      <c r="J422" s="21">
        <v>7</v>
      </c>
      <c r="K422" s="21">
        <v>8</v>
      </c>
      <c r="L422" s="21">
        <v>9</v>
      </c>
      <c r="M422" s="21">
        <v>10</v>
      </c>
      <c r="N422" s="21">
        <v>11</v>
      </c>
      <c r="O422" s="21">
        <v>12</v>
      </c>
      <c r="P422" s="21">
        <v>13</v>
      </c>
      <c r="Q422" s="21">
        <v>14</v>
      </c>
      <c r="R422" s="21">
        <v>15</v>
      </c>
      <c r="S422" s="21">
        <v>16</v>
      </c>
      <c r="T422" s="21">
        <v>17</v>
      </c>
      <c r="U422" s="21">
        <v>18</v>
      </c>
      <c r="V422" s="21">
        <v>19</v>
      </c>
      <c r="W422" s="21">
        <v>20</v>
      </c>
      <c r="X422" s="21">
        <v>21</v>
      </c>
      <c r="Y422" s="21">
        <v>22</v>
      </c>
      <c r="Z422" s="21">
        <v>23</v>
      </c>
      <c r="AA422" s="21">
        <v>24</v>
      </c>
    </row>
    <row r="423" spans="2:27" x14ac:dyDescent="0.25">
      <c r="B423" s="3" t="s">
        <v>117</v>
      </c>
      <c r="C423" s="125" t="s">
        <v>47</v>
      </c>
      <c r="D423" s="180">
        <f>D414</f>
        <v>-640999.58721794875</v>
      </c>
      <c r="E423" s="180">
        <f>E414</f>
        <v>-200554.9145299145</v>
      </c>
      <c r="F423" s="180">
        <f t="shared" ref="F423:AA423" si="599">F414</f>
        <v>-57012.222222222219</v>
      </c>
      <c r="G423" s="180">
        <f t="shared" si="599"/>
        <v>-397.17948717949912</v>
      </c>
      <c r="H423" s="180">
        <f t="shared" si="599"/>
        <v>71710.470085470093</v>
      </c>
      <c r="I423" s="180">
        <f t="shared" si="599"/>
        <v>125302.65000000002</v>
      </c>
      <c r="J423" s="180">
        <f t="shared" si="599"/>
        <v>126855.6765</v>
      </c>
      <c r="K423" s="180">
        <f t="shared" si="599"/>
        <v>128424.23326500002</v>
      </c>
      <c r="L423" s="180">
        <f t="shared" si="599"/>
        <v>130008.47559765002</v>
      </c>
      <c r="M423" s="180">
        <f t="shared" si="599"/>
        <v>131608.56035362653</v>
      </c>
      <c r="N423" s="180">
        <f t="shared" si="599"/>
        <v>133224.64595716278</v>
      </c>
      <c r="O423" s="180">
        <f t="shared" si="599"/>
        <v>134856.89241673439</v>
      </c>
      <c r="P423" s="180">
        <f t="shared" si="599"/>
        <v>136505.46134090176</v>
      </c>
      <c r="Q423" s="180">
        <f t="shared" si="599"/>
        <v>138170.51595431077</v>
      </c>
      <c r="R423" s="180">
        <f t="shared" si="599"/>
        <v>139852.22111385388</v>
      </c>
      <c r="S423" s="180">
        <f t="shared" si="599"/>
        <v>141550.74332499242</v>
      </c>
      <c r="T423" s="180">
        <f t="shared" si="599"/>
        <v>143266.25075824236</v>
      </c>
      <c r="U423" s="180">
        <f t="shared" si="599"/>
        <v>144998.91326582478</v>
      </c>
      <c r="V423" s="180">
        <f t="shared" si="599"/>
        <v>146748.90239848301</v>
      </c>
      <c r="W423" s="180">
        <f t="shared" si="599"/>
        <v>148516.39142246786</v>
      </c>
      <c r="X423" s="180">
        <f t="shared" si="599"/>
        <v>150301.55533669252</v>
      </c>
      <c r="Y423" s="180">
        <f t="shared" si="599"/>
        <v>152104.57089005943</v>
      </c>
      <c r="Z423" s="180">
        <f t="shared" si="599"/>
        <v>153925.61659896004</v>
      </c>
      <c r="AA423" s="180">
        <f t="shared" si="599"/>
        <v>155764.87276494966</v>
      </c>
    </row>
    <row r="424" spans="2:27" x14ac:dyDescent="0.25">
      <c r="B424" s="128" t="s">
        <v>120</v>
      </c>
      <c r="C424" s="129" t="s">
        <v>47</v>
      </c>
      <c r="D424" s="242">
        <f>D403*1/(1+D395)</f>
        <v>636829.58721794875</v>
      </c>
      <c r="E424" s="242">
        <f>E403*1/(1+E395)*(1/(1+D395))</f>
        <v>232294.91452991453</v>
      </c>
      <c r="F424" s="242">
        <f>F403*1/(1+F395)*(1/(1+E395))*(1/(1+D395))</f>
        <v>137712.22222222222</v>
      </c>
      <c r="G424" s="242">
        <f>G403*1/(1+G395)*(1/(1+F395)*(1/(1+E395))*(1/(1+D395)))</f>
        <v>103777.17948717948</v>
      </c>
      <c r="H424" s="242">
        <f>H403*1/(1+$H$11)*(1/(1+$G$11)*(1/(1+$F$11)*(1/(1+$E$11))*(1/(1+$D$11))))</f>
        <v>43502.101940584122</v>
      </c>
    </row>
    <row r="425" spans="2:27" x14ac:dyDescent="0.25">
      <c r="B425" s="3" t="s">
        <v>121</v>
      </c>
      <c r="C425" s="125" t="s">
        <v>47</v>
      </c>
      <c r="D425" s="181">
        <f>D423-D424</f>
        <v>-1277829.1744358975</v>
      </c>
      <c r="E425" s="181">
        <f>D425+E423-E424</f>
        <v>-1710679.0034957265</v>
      </c>
      <c r="F425" s="181">
        <f>E425+F423-F424</f>
        <v>-1905403.447940171</v>
      </c>
      <c r="G425" s="181">
        <f>F425+G423-G424</f>
        <v>-2009577.80691453</v>
      </c>
      <c r="H425" s="181">
        <f>G425+H423-H424</f>
        <v>-1981369.4387696441</v>
      </c>
      <c r="I425" s="181">
        <f t="shared" ref="I425" si="600">H425+I423</f>
        <v>-1856066.7887696442</v>
      </c>
      <c r="J425" s="181">
        <f t="shared" ref="J425" si="601">I425+J423</f>
        <v>-1729211.1122696442</v>
      </c>
      <c r="K425" s="181">
        <f t="shared" ref="K425" si="602">J425+K423</f>
        <v>-1600786.8790046442</v>
      </c>
      <c r="L425" s="181">
        <f t="shared" ref="L425" si="603">K425+L423</f>
        <v>-1470778.4034069942</v>
      </c>
      <c r="M425" s="181">
        <f t="shared" ref="M425" si="604">L425+M423</f>
        <v>-1339169.8430533677</v>
      </c>
      <c r="N425" s="181">
        <f t="shared" ref="N425" si="605">M425+N423</f>
        <v>-1205945.1970962049</v>
      </c>
      <c r="O425" s="181">
        <f t="shared" ref="O425" si="606">N425+O423</f>
        <v>-1071088.3046794704</v>
      </c>
      <c r="P425" s="181">
        <f t="shared" ref="P425" si="607">O425+P423</f>
        <v>-934582.84333856858</v>
      </c>
      <c r="Q425" s="181">
        <f t="shared" ref="Q425" si="608">P425+Q423</f>
        <v>-796412.32738425781</v>
      </c>
      <c r="R425" s="181">
        <f t="shared" ref="R425" si="609">Q425+R423</f>
        <v>-656560.10627040395</v>
      </c>
      <c r="S425" s="181">
        <f t="shared" ref="S425" si="610">R425+S423</f>
        <v>-515009.36294541153</v>
      </c>
      <c r="T425" s="181">
        <f t="shared" ref="T425" si="611">S425+T423</f>
        <v>-371743.11218716914</v>
      </c>
      <c r="U425" s="181">
        <f t="shared" ref="U425" si="612">T425+U423</f>
        <v>-226744.19892134436</v>
      </c>
      <c r="V425" s="181">
        <f t="shared" ref="V425" si="613">U425+V423</f>
        <v>-79995.296522861347</v>
      </c>
      <c r="W425" s="181">
        <f t="shared" ref="W425" si="614">V425+W423</f>
        <v>68521.094899606513</v>
      </c>
      <c r="X425" s="181">
        <f t="shared" ref="X425" si="615">W425+X423</f>
        <v>218822.65023629903</v>
      </c>
      <c r="Y425" s="181">
        <f t="shared" ref="Y425" si="616">X425+Y423</f>
        <v>370927.22112635849</v>
      </c>
      <c r="Z425" s="181">
        <f t="shared" ref="Z425" si="617">Y425+Z423</f>
        <v>524852.8377253185</v>
      </c>
      <c r="AA425" s="181">
        <f t="shared" ref="AA425" si="618">Z425+AA423</f>
        <v>680617.71049026819</v>
      </c>
    </row>
    <row r="426" spans="2:27" x14ac:dyDescent="0.25">
      <c r="B426" s="130" t="s">
        <v>122</v>
      </c>
    </row>
    <row r="428" spans="2:27" ht="15.75" x14ac:dyDescent="0.25">
      <c r="B428" s="448" t="s">
        <v>313</v>
      </c>
      <c r="C428" s="449"/>
      <c r="D428" s="449"/>
      <c r="E428" s="449"/>
      <c r="F428" s="449"/>
      <c r="G428" s="449"/>
      <c r="H428" s="449"/>
      <c r="I428" s="449"/>
      <c r="J428" s="449"/>
      <c r="K428" s="449"/>
      <c r="L428" s="449"/>
      <c r="M428" s="449"/>
      <c r="N428" s="449"/>
      <c r="O428" s="449"/>
      <c r="P428" s="449"/>
      <c r="Q428" s="449"/>
      <c r="R428" s="449"/>
      <c r="S428" s="449"/>
      <c r="T428" s="449"/>
      <c r="U428" s="449"/>
      <c r="V428" s="449"/>
      <c r="W428" s="449"/>
      <c r="X428" s="449"/>
      <c r="Y428" s="449"/>
      <c r="Z428" s="449"/>
      <c r="AA428" s="449"/>
    </row>
    <row r="429" spans="2:27" ht="15.75" x14ac:dyDescent="0.25">
      <c r="B429" s="116"/>
      <c r="C429" s="116"/>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row>
    <row r="430" spans="2:27" x14ac:dyDescent="0.25">
      <c r="B430" s="118" t="s">
        <v>105</v>
      </c>
      <c r="C430" s="110"/>
    </row>
    <row r="431" spans="2:27" x14ac:dyDescent="0.25">
      <c r="B431" s="3"/>
      <c r="C431" s="27" t="s">
        <v>20</v>
      </c>
      <c r="D431" s="27">
        <f>$C$3</f>
        <v>2023</v>
      </c>
      <c r="E431" s="27">
        <f>$C$3+1</f>
        <v>2024</v>
      </c>
      <c r="F431" s="27">
        <f>$C$3+2</f>
        <v>2025</v>
      </c>
      <c r="G431" s="27">
        <f>$C$3+3</f>
        <v>2026</v>
      </c>
      <c r="H431" s="27">
        <f>$C$3+4</f>
        <v>2027</v>
      </c>
      <c r="I431" s="27">
        <f>H431+1</f>
        <v>2028</v>
      </c>
      <c r="J431" s="27">
        <f t="shared" ref="J431" si="619">I431+1</f>
        <v>2029</v>
      </c>
      <c r="K431" s="27">
        <f t="shared" ref="K431" si="620">J431+1</f>
        <v>2030</v>
      </c>
      <c r="L431" s="27">
        <f t="shared" ref="L431" si="621">K431+1</f>
        <v>2031</v>
      </c>
      <c r="M431" s="27">
        <f t="shared" ref="M431" si="622">L431+1</f>
        <v>2032</v>
      </c>
      <c r="N431" s="27">
        <f t="shared" ref="N431" si="623">M431+1</f>
        <v>2033</v>
      </c>
      <c r="O431" s="27">
        <f t="shared" ref="O431" si="624">N431+1</f>
        <v>2034</v>
      </c>
      <c r="P431" s="27">
        <f t="shared" ref="P431" si="625">O431+1</f>
        <v>2035</v>
      </c>
      <c r="Q431" s="27">
        <f t="shared" ref="Q431" si="626">P431+1</f>
        <v>2036</v>
      </c>
      <c r="R431" s="27">
        <f t="shared" ref="R431" si="627">Q431+1</f>
        <v>2037</v>
      </c>
      <c r="S431" s="27">
        <f t="shared" ref="S431" si="628">R431+1</f>
        <v>2038</v>
      </c>
      <c r="T431" s="27">
        <f t="shared" ref="T431" si="629">S431+1</f>
        <v>2039</v>
      </c>
      <c r="U431" s="27">
        <f t="shared" ref="U431" si="630">T431+1</f>
        <v>2040</v>
      </c>
      <c r="V431" s="27">
        <f t="shared" ref="V431" si="631">U431+1</f>
        <v>2041</v>
      </c>
      <c r="W431" s="27">
        <f t="shared" ref="W431" si="632">V431+1</f>
        <v>2042</v>
      </c>
      <c r="X431" s="27">
        <f t="shared" ref="X431" si="633">W431+1</f>
        <v>2043</v>
      </c>
      <c r="Y431" s="27">
        <f t="shared" ref="Y431" si="634">X431+1</f>
        <v>2044</v>
      </c>
      <c r="Z431" s="27">
        <f t="shared" ref="Z431" si="635">Y431+1</f>
        <v>2045</v>
      </c>
      <c r="AA431" s="27">
        <f t="shared" ref="AA431" si="636">Z431+1</f>
        <v>2046</v>
      </c>
    </row>
    <row r="432" spans="2:27" x14ac:dyDescent="0.25">
      <c r="B432" s="3" t="s">
        <v>68</v>
      </c>
      <c r="C432" s="39"/>
      <c r="D432" s="21">
        <v>1</v>
      </c>
      <c r="E432" s="21">
        <v>2</v>
      </c>
      <c r="F432" s="21">
        <v>3</v>
      </c>
      <c r="G432" s="21">
        <v>4</v>
      </c>
      <c r="H432" s="21">
        <v>5</v>
      </c>
      <c r="I432" s="21">
        <v>6</v>
      </c>
      <c r="J432" s="21">
        <v>7</v>
      </c>
      <c r="K432" s="21">
        <v>8</v>
      </c>
      <c r="L432" s="21">
        <v>9</v>
      </c>
      <c r="M432" s="21">
        <v>10</v>
      </c>
      <c r="N432" s="21">
        <v>11</v>
      </c>
      <c r="O432" s="21">
        <v>12</v>
      </c>
      <c r="P432" s="21">
        <v>13</v>
      </c>
      <c r="Q432" s="21">
        <v>14</v>
      </c>
      <c r="R432" s="21">
        <v>15</v>
      </c>
      <c r="S432" s="21">
        <v>16</v>
      </c>
      <c r="T432" s="21">
        <v>17</v>
      </c>
      <c r="U432" s="21">
        <v>18</v>
      </c>
      <c r="V432" s="21">
        <v>19</v>
      </c>
      <c r="W432" s="21">
        <v>20</v>
      </c>
      <c r="X432" s="21">
        <v>21</v>
      </c>
      <c r="Y432" s="21">
        <v>22</v>
      </c>
      <c r="Z432" s="21">
        <v>23</v>
      </c>
      <c r="AA432" s="21">
        <v>24</v>
      </c>
    </row>
    <row r="433" spans="2:27" x14ac:dyDescent="0.25">
      <c r="B433" s="446" t="s">
        <v>106</v>
      </c>
      <c r="C433" s="447"/>
      <c r="D433" s="447"/>
      <c r="E433" s="447"/>
      <c r="F433" s="447"/>
      <c r="G433" s="447"/>
      <c r="H433" s="447"/>
      <c r="I433" s="447"/>
      <c r="J433" s="447"/>
      <c r="K433" s="447"/>
      <c r="L433" s="447"/>
      <c r="M433" s="447"/>
      <c r="N433" s="447"/>
      <c r="O433" s="447"/>
      <c r="P433" s="447"/>
      <c r="Q433" s="447"/>
      <c r="R433" s="447"/>
      <c r="S433" s="447"/>
      <c r="T433" s="447"/>
      <c r="U433" s="447"/>
      <c r="V433" s="447"/>
      <c r="W433" s="447"/>
      <c r="X433" s="447"/>
      <c r="Y433" s="447"/>
      <c r="Z433" s="447"/>
      <c r="AA433" s="447"/>
    </row>
    <row r="434" spans="2:27" x14ac:dyDescent="0.25">
      <c r="B434" s="3" t="s">
        <v>167</v>
      </c>
      <c r="C434" s="119" t="s">
        <v>47</v>
      </c>
      <c r="D434" s="36">
        <f>(Επενδύσεις!D24)*0.5</f>
        <v>343516.55861538462</v>
      </c>
      <c r="E434" s="36">
        <f>(Επενδύσεις!E24)*0.5</f>
        <v>204837.60683760684</v>
      </c>
      <c r="F434" s="36">
        <f>(Επενδύσεις!F24)*0.5</f>
        <v>178411.62393162394</v>
      </c>
      <c r="G434" s="36">
        <f>(Επενδύσεις!G24)*0.5</f>
        <v>149200.68376068375</v>
      </c>
      <c r="H434" s="36">
        <f>(Επενδύσεις!H24)*0.5</f>
        <v>98174.358974358969</v>
      </c>
      <c r="I434" s="120"/>
      <c r="J434" s="120"/>
      <c r="K434" s="120"/>
      <c r="L434" s="120"/>
      <c r="M434" s="120"/>
      <c r="N434" s="120"/>
      <c r="O434" s="120"/>
      <c r="P434" s="120"/>
      <c r="Q434" s="120"/>
      <c r="R434" s="120"/>
      <c r="S434" s="120"/>
      <c r="T434" s="120"/>
      <c r="U434" s="120"/>
      <c r="V434" s="120"/>
      <c r="W434" s="120"/>
      <c r="X434" s="120"/>
      <c r="Y434" s="120"/>
      <c r="Z434" s="120"/>
      <c r="AA434" s="120"/>
    </row>
    <row r="435" spans="2:27" x14ac:dyDescent="0.25">
      <c r="B435" s="3" t="s">
        <v>107</v>
      </c>
      <c r="C435" s="119" t="s">
        <v>47</v>
      </c>
      <c r="D435" s="120"/>
      <c r="E435" s="120"/>
      <c r="F435" s="120"/>
      <c r="G435" s="120"/>
      <c r="H435" s="120"/>
      <c r="I435" s="36"/>
      <c r="J435" s="36"/>
      <c r="K435" s="36"/>
      <c r="L435" s="36"/>
      <c r="M435" s="36"/>
      <c r="N435" s="36"/>
      <c r="O435" s="36"/>
      <c r="P435" s="36"/>
      <c r="Q435" s="36"/>
      <c r="R435" s="36"/>
      <c r="S435" s="36"/>
      <c r="T435" s="36"/>
      <c r="U435" s="36"/>
      <c r="V435" s="36"/>
      <c r="W435" s="36"/>
      <c r="X435" s="36"/>
      <c r="Y435" s="36"/>
      <c r="Z435" s="36"/>
      <c r="AA435" s="36"/>
    </row>
    <row r="436" spans="2:27" x14ac:dyDescent="0.25">
      <c r="B436" s="3" t="s">
        <v>108</v>
      </c>
      <c r="C436" s="121" t="s">
        <v>47</v>
      </c>
      <c r="D436" s="36">
        <v>120000</v>
      </c>
      <c r="E436" s="36">
        <v>120000</v>
      </c>
      <c r="F436" s="36">
        <v>120000</v>
      </c>
      <c r="G436" s="36">
        <v>120000</v>
      </c>
      <c r="H436" s="36">
        <v>80000</v>
      </c>
      <c r="I436" s="36">
        <v>80000</v>
      </c>
      <c r="J436" s="36">
        <f>I436</f>
        <v>80000</v>
      </c>
      <c r="K436" s="36">
        <f t="shared" ref="K436" si="637">J436</f>
        <v>80000</v>
      </c>
      <c r="L436" s="36">
        <f t="shared" ref="L436" si="638">K436</f>
        <v>80000</v>
      </c>
      <c r="M436" s="36">
        <f t="shared" ref="M436" si="639">L436</f>
        <v>80000</v>
      </c>
      <c r="N436" s="36">
        <f t="shared" ref="N436" si="640">M436</f>
        <v>80000</v>
      </c>
      <c r="O436" s="36">
        <f t="shared" ref="O436" si="641">N436</f>
        <v>80000</v>
      </c>
      <c r="P436" s="36">
        <f t="shared" ref="P436" si="642">O436</f>
        <v>80000</v>
      </c>
      <c r="Q436" s="36">
        <f t="shared" ref="Q436" si="643">P436</f>
        <v>80000</v>
      </c>
      <c r="R436" s="36">
        <f t="shared" ref="R436" si="644">Q436</f>
        <v>80000</v>
      </c>
      <c r="S436" s="36">
        <f t="shared" ref="S436" si="645">R436</f>
        <v>80000</v>
      </c>
      <c r="T436" s="36">
        <f t="shared" ref="T436" si="646">S436</f>
        <v>80000</v>
      </c>
      <c r="U436" s="36">
        <f t="shared" ref="U436" si="647">T436</f>
        <v>80000</v>
      </c>
      <c r="V436" s="36">
        <f t="shared" ref="V436" si="648">U436</f>
        <v>80000</v>
      </c>
      <c r="W436" s="36">
        <f t="shared" ref="W436" si="649">V436</f>
        <v>80000</v>
      </c>
      <c r="X436" s="36">
        <f t="shared" ref="X436" si="650">W436</f>
        <v>80000</v>
      </c>
      <c r="Y436" s="36">
        <f t="shared" ref="Y436" si="651">X436</f>
        <v>80000</v>
      </c>
      <c r="Z436" s="36">
        <f t="shared" ref="Z436" si="652">Y436</f>
        <v>80000</v>
      </c>
      <c r="AA436" s="36">
        <f t="shared" ref="AA436" si="653">Z436</f>
        <v>80000</v>
      </c>
    </row>
    <row r="437" spans="2:27" x14ac:dyDescent="0.25">
      <c r="B437" s="122" t="s">
        <v>109</v>
      </c>
      <c r="C437" s="121" t="s">
        <v>47</v>
      </c>
      <c r="D437" s="240">
        <f>D434+D436</f>
        <v>463516.55861538462</v>
      </c>
      <c r="E437" s="240">
        <f>E434+E436</f>
        <v>324837.60683760687</v>
      </c>
      <c r="F437" s="240">
        <f>F434+F436</f>
        <v>298411.62393162394</v>
      </c>
      <c r="G437" s="240">
        <f>G434+G436</f>
        <v>269200.68376068375</v>
      </c>
      <c r="H437" s="240">
        <f>H434+H436</f>
        <v>178174.35897435897</v>
      </c>
      <c r="I437" s="240">
        <f>I435+I436</f>
        <v>80000</v>
      </c>
      <c r="J437" s="240">
        <f t="shared" ref="J437:AA437" si="654">J435+J436</f>
        <v>80000</v>
      </c>
      <c r="K437" s="240">
        <f t="shared" si="654"/>
        <v>80000</v>
      </c>
      <c r="L437" s="240">
        <f t="shared" si="654"/>
        <v>80000</v>
      </c>
      <c r="M437" s="240">
        <f t="shared" si="654"/>
        <v>80000</v>
      </c>
      <c r="N437" s="240">
        <f t="shared" si="654"/>
        <v>80000</v>
      </c>
      <c r="O437" s="240">
        <f t="shared" si="654"/>
        <v>80000</v>
      </c>
      <c r="P437" s="240">
        <f t="shared" si="654"/>
        <v>80000</v>
      </c>
      <c r="Q437" s="240">
        <f t="shared" si="654"/>
        <v>80000</v>
      </c>
      <c r="R437" s="240">
        <f t="shared" si="654"/>
        <v>80000</v>
      </c>
      <c r="S437" s="240">
        <f t="shared" si="654"/>
        <v>80000</v>
      </c>
      <c r="T437" s="240">
        <f t="shared" si="654"/>
        <v>80000</v>
      </c>
      <c r="U437" s="240">
        <f t="shared" si="654"/>
        <v>80000</v>
      </c>
      <c r="V437" s="240">
        <f t="shared" si="654"/>
        <v>80000</v>
      </c>
      <c r="W437" s="240">
        <f t="shared" si="654"/>
        <v>80000</v>
      </c>
      <c r="X437" s="240">
        <f t="shared" si="654"/>
        <v>80000</v>
      </c>
      <c r="Y437" s="240">
        <f t="shared" si="654"/>
        <v>80000</v>
      </c>
      <c r="Z437" s="240">
        <f t="shared" si="654"/>
        <v>80000</v>
      </c>
      <c r="AA437" s="240">
        <f t="shared" si="654"/>
        <v>80000</v>
      </c>
    </row>
    <row r="438" spans="2:27" x14ac:dyDescent="0.25">
      <c r="B438" s="17" t="s">
        <v>110</v>
      </c>
    </row>
    <row r="439" spans="2:27" x14ac:dyDescent="0.25">
      <c r="B439" s="17" t="s">
        <v>111</v>
      </c>
    </row>
    <row r="440" spans="2:27" x14ac:dyDescent="0.25">
      <c r="B440" s="446" t="s">
        <v>112</v>
      </c>
      <c r="C440" s="447"/>
      <c r="D440" s="447"/>
      <c r="E440" s="447"/>
      <c r="F440" s="447"/>
      <c r="G440" s="447"/>
      <c r="H440" s="447"/>
      <c r="I440" s="447"/>
      <c r="J440" s="447"/>
      <c r="K440" s="447"/>
      <c r="L440" s="447"/>
      <c r="M440" s="447"/>
      <c r="N440" s="447"/>
      <c r="O440" s="447"/>
      <c r="P440" s="447"/>
      <c r="Q440" s="447"/>
      <c r="R440" s="447"/>
      <c r="S440" s="447"/>
      <c r="T440" s="447"/>
      <c r="U440" s="447"/>
      <c r="V440" s="447"/>
      <c r="W440" s="447"/>
      <c r="X440" s="447"/>
      <c r="Y440" s="447"/>
      <c r="Z440" s="447"/>
      <c r="AA440" s="447"/>
    </row>
    <row r="441" spans="2:27" x14ac:dyDescent="0.25">
      <c r="B441" s="123" t="s">
        <v>113</v>
      </c>
      <c r="C441" s="119" t="s">
        <v>26</v>
      </c>
      <c r="D441" s="36">
        <f>'Διανεμόμενες ποσότητες αερίου'!T27</f>
        <v>2940</v>
      </c>
      <c r="E441" s="36">
        <f>'Διανεμόμενες ποσότητες αερίου'!Z27</f>
        <v>6845</v>
      </c>
      <c r="F441" s="36">
        <f>'Διανεμόμενες ποσότητες αερίου'!AF27</f>
        <v>11225</v>
      </c>
      <c r="G441" s="36">
        <f>'Διανεμόμενες ποσότητες αερίου'!AL27</f>
        <v>15205</v>
      </c>
      <c r="H441" s="36">
        <f>'Διανεμόμενες ποσότητες αερίου'!AR27</f>
        <v>17755</v>
      </c>
      <c r="I441" s="36">
        <f>H441*1.01</f>
        <v>17932.55</v>
      </c>
      <c r="J441" s="36">
        <f t="shared" ref="J441" si="655">I441*1.01</f>
        <v>18111.875499999998</v>
      </c>
      <c r="K441" s="36">
        <f t="shared" ref="K441" si="656">J441*1.01</f>
        <v>18292.994254999998</v>
      </c>
      <c r="L441" s="36">
        <f t="shared" ref="L441" si="657">K441*1.01</f>
        <v>18475.924197549997</v>
      </c>
      <c r="M441" s="36">
        <f t="shared" ref="M441" si="658">L441*1.01</f>
        <v>18660.683439525499</v>
      </c>
      <c r="N441" s="36">
        <f t="shared" ref="N441" si="659">M441*1.01</f>
        <v>18847.290273920753</v>
      </c>
      <c r="O441" s="36">
        <f t="shared" ref="O441" si="660">N441*1.01</f>
        <v>19035.763176659959</v>
      </c>
      <c r="P441" s="36">
        <f t="shared" ref="P441" si="661">O441*1.01</f>
        <v>19226.12080842656</v>
      </c>
      <c r="Q441" s="36">
        <f t="shared" ref="Q441" si="662">P441*1.01</f>
        <v>19418.382016510826</v>
      </c>
      <c r="R441" s="36">
        <f t="shared" ref="R441" si="663">Q441*1.01</f>
        <v>19612.565836675934</v>
      </c>
      <c r="S441" s="36">
        <f t="shared" ref="S441" si="664">R441*1.01</f>
        <v>19808.691495042694</v>
      </c>
      <c r="T441" s="36">
        <f t="shared" ref="T441" si="665">S441*1.01</f>
        <v>20006.778409993123</v>
      </c>
      <c r="U441" s="36">
        <f t="shared" ref="U441" si="666">T441*1.01</f>
        <v>20206.846194093054</v>
      </c>
      <c r="V441" s="36">
        <f t="shared" ref="V441" si="667">U441*1.01</f>
        <v>20408.914656033983</v>
      </c>
      <c r="W441" s="36">
        <f t="shared" ref="W441" si="668">V441*1.01</f>
        <v>20613.003802594325</v>
      </c>
      <c r="X441" s="36">
        <f t="shared" ref="X441" si="669">W441*1.01</f>
        <v>20819.133840620267</v>
      </c>
      <c r="Y441" s="36">
        <f t="shared" ref="Y441" si="670">X441*1.01</f>
        <v>21027.325179026469</v>
      </c>
      <c r="Z441" s="36">
        <f t="shared" ref="Z441" si="671">Y441*1.01</f>
        <v>21237.598430816735</v>
      </c>
      <c r="AA441" s="36">
        <f t="shared" ref="AA441" si="672">Z441*1.01</f>
        <v>21449.974415124903</v>
      </c>
    </row>
    <row r="442" spans="2:27" x14ac:dyDescent="0.25">
      <c r="B442" s="123" t="s">
        <v>114</v>
      </c>
      <c r="C442" s="121" t="s">
        <v>47</v>
      </c>
      <c r="D442" s="180">
        <f>D441*14</f>
        <v>41160</v>
      </c>
      <c r="E442" s="180">
        <f t="shared" ref="E442:H442" si="673">E441*14</f>
        <v>95830</v>
      </c>
      <c r="F442" s="180">
        <f t="shared" si="673"/>
        <v>157150</v>
      </c>
      <c r="G442" s="180">
        <f t="shared" si="673"/>
        <v>212870</v>
      </c>
      <c r="H442" s="180">
        <f t="shared" si="673"/>
        <v>248570</v>
      </c>
      <c r="I442" s="180">
        <f>I441*12</f>
        <v>215190.59999999998</v>
      </c>
      <c r="J442" s="180">
        <f t="shared" ref="J442:AA442" si="674">J441*12</f>
        <v>217342.50599999999</v>
      </c>
      <c r="K442" s="180">
        <f t="shared" si="674"/>
        <v>219515.93105999997</v>
      </c>
      <c r="L442" s="180">
        <f t="shared" si="674"/>
        <v>221711.09037059997</v>
      </c>
      <c r="M442" s="180">
        <f t="shared" si="674"/>
        <v>223928.20127430599</v>
      </c>
      <c r="N442" s="180">
        <f t="shared" si="674"/>
        <v>226167.48328704905</v>
      </c>
      <c r="O442" s="180">
        <f t="shared" si="674"/>
        <v>228429.15811991951</v>
      </c>
      <c r="P442" s="180">
        <f t="shared" si="674"/>
        <v>230713.44970111872</v>
      </c>
      <c r="Q442" s="180">
        <f t="shared" si="674"/>
        <v>233020.58419812992</v>
      </c>
      <c r="R442" s="180">
        <f t="shared" si="674"/>
        <v>235350.79004011123</v>
      </c>
      <c r="S442" s="180">
        <f t="shared" si="674"/>
        <v>237704.29794051233</v>
      </c>
      <c r="T442" s="180">
        <f t="shared" si="674"/>
        <v>240081.34091991748</v>
      </c>
      <c r="U442" s="180">
        <f t="shared" si="674"/>
        <v>242482.15432911663</v>
      </c>
      <c r="V442" s="180">
        <f t="shared" si="674"/>
        <v>244906.97587240778</v>
      </c>
      <c r="W442" s="180">
        <f t="shared" si="674"/>
        <v>247356.04563113191</v>
      </c>
      <c r="X442" s="180">
        <f t="shared" si="674"/>
        <v>249829.60608744319</v>
      </c>
      <c r="Y442" s="180">
        <f t="shared" si="674"/>
        <v>252327.90214831763</v>
      </c>
      <c r="Z442" s="180">
        <f t="shared" si="674"/>
        <v>254851.18116980081</v>
      </c>
      <c r="AA442" s="180">
        <f t="shared" si="674"/>
        <v>257399.69298149884</v>
      </c>
    </row>
    <row r="443" spans="2:27" x14ac:dyDescent="0.25">
      <c r="B443" s="122" t="s">
        <v>115</v>
      </c>
      <c r="C443" s="121" t="s">
        <v>47</v>
      </c>
      <c r="D443" s="240">
        <f>D442</f>
        <v>41160</v>
      </c>
      <c r="E443" s="240">
        <f t="shared" ref="E443:G443" si="675">E442</f>
        <v>95830</v>
      </c>
      <c r="F443" s="240">
        <f t="shared" si="675"/>
        <v>157150</v>
      </c>
      <c r="G443" s="240">
        <f t="shared" si="675"/>
        <v>212870</v>
      </c>
      <c r="H443" s="240">
        <f>H442</f>
        <v>248570</v>
      </c>
      <c r="I443" s="240">
        <f t="shared" ref="I443:AA443" si="676">I442</f>
        <v>215190.59999999998</v>
      </c>
      <c r="J443" s="240">
        <f t="shared" si="676"/>
        <v>217342.50599999999</v>
      </c>
      <c r="K443" s="240">
        <f t="shared" si="676"/>
        <v>219515.93105999997</v>
      </c>
      <c r="L443" s="240">
        <f t="shared" si="676"/>
        <v>221711.09037059997</v>
      </c>
      <c r="M443" s="240">
        <f t="shared" si="676"/>
        <v>223928.20127430599</v>
      </c>
      <c r="N443" s="240">
        <f t="shared" si="676"/>
        <v>226167.48328704905</v>
      </c>
      <c r="O443" s="240">
        <f t="shared" si="676"/>
        <v>228429.15811991951</v>
      </c>
      <c r="P443" s="240">
        <f t="shared" si="676"/>
        <v>230713.44970111872</v>
      </c>
      <c r="Q443" s="240">
        <f t="shared" si="676"/>
        <v>233020.58419812992</v>
      </c>
      <c r="R443" s="240">
        <f t="shared" si="676"/>
        <v>235350.79004011123</v>
      </c>
      <c r="S443" s="240">
        <f t="shared" si="676"/>
        <v>237704.29794051233</v>
      </c>
      <c r="T443" s="240">
        <f t="shared" si="676"/>
        <v>240081.34091991748</v>
      </c>
      <c r="U443" s="240">
        <f t="shared" si="676"/>
        <v>242482.15432911663</v>
      </c>
      <c r="V443" s="240">
        <f t="shared" si="676"/>
        <v>244906.97587240778</v>
      </c>
      <c r="W443" s="240">
        <f t="shared" si="676"/>
        <v>247356.04563113191</v>
      </c>
      <c r="X443" s="240">
        <f t="shared" si="676"/>
        <v>249829.60608744319</v>
      </c>
      <c r="Y443" s="240">
        <f t="shared" si="676"/>
        <v>252327.90214831763</v>
      </c>
      <c r="Z443" s="240">
        <f t="shared" si="676"/>
        <v>254851.18116980081</v>
      </c>
      <c r="AA443" s="240">
        <f t="shared" si="676"/>
        <v>257399.69298149884</v>
      </c>
    </row>
    <row r="444" spans="2:27" x14ac:dyDescent="0.25">
      <c r="B444" s="124" t="s">
        <v>116</v>
      </c>
    </row>
    <row r="445" spans="2:27" x14ac:dyDescent="0.25">
      <c r="B445" s="3" t="s">
        <v>117</v>
      </c>
      <c r="C445" s="125" t="s">
        <v>47</v>
      </c>
      <c r="D445" s="181">
        <f>D443-D437</f>
        <v>-422356.55861538462</v>
      </c>
      <c r="E445" s="181">
        <f t="shared" ref="E445:AA445" si="677">E443-E437</f>
        <v>-229007.60683760687</v>
      </c>
      <c r="F445" s="181">
        <f t="shared" si="677"/>
        <v>-141261.62393162394</v>
      </c>
      <c r="G445" s="181">
        <f t="shared" si="677"/>
        <v>-56330.683760683751</v>
      </c>
      <c r="H445" s="181">
        <f t="shared" si="677"/>
        <v>70395.641025641031</v>
      </c>
      <c r="I445" s="181">
        <f t="shared" si="677"/>
        <v>135190.59999999998</v>
      </c>
      <c r="J445" s="181">
        <f t="shared" si="677"/>
        <v>137342.50599999999</v>
      </c>
      <c r="K445" s="181">
        <f t="shared" si="677"/>
        <v>139515.93105999997</v>
      </c>
      <c r="L445" s="181">
        <f t="shared" si="677"/>
        <v>141711.09037059997</v>
      </c>
      <c r="M445" s="181">
        <f t="shared" si="677"/>
        <v>143928.20127430599</v>
      </c>
      <c r="N445" s="181">
        <f t="shared" si="677"/>
        <v>146167.48328704905</v>
      </c>
      <c r="O445" s="181">
        <f t="shared" si="677"/>
        <v>148429.15811991951</v>
      </c>
      <c r="P445" s="181">
        <f t="shared" si="677"/>
        <v>150713.44970111872</v>
      </c>
      <c r="Q445" s="181">
        <f t="shared" si="677"/>
        <v>153020.58419812992</v>
      </c>
      <c r="R445" s="181">
        <f t="shared" si="677"/>
        <v>155350.79004011123</v>
      </c>
      <c r="S445" s="181">
        <f t="shared" si="677"/>
        <v>157704.29794051233</v>
      </c>
      <c r="T445" s="181">
        <f t="shared" si="677"/>
        <v>160081.34091991748</v>
      </c>
      <c r="U445" s="181">
        <f t="shared" si="677"/>
        <v>162482.15432911663</v>
      </c>
      <c r="V445" s="181">
        <f t="shared" si="677"/>
        <v>164906.97587240778</v>
      </c>
      <c r="W445" s="181">
        <f t="shared" si="677"/>
        <v>167356.04563113191</v>
      </c>
      <c r="X445" s="181">
        <f t="shared" si="677"/>
        <v>169829.60608744319</v>
      </c>
      <c r="Y445" s="181">
        <f t="shared" si="677"/>
        <v>172327.90214831763</v>
      </c>
      <c r="Z445" s="181">
        <f t="shared" si="677"/>
        <v>174851.18116980081</v>
      </c>
      <c r="AA445" s="181">
        <f t="shared" si="677"/>
        <v>177399.69298149884</v>
      </c>
    </row>
    <row r="446" spans="2:27" x14ac:dyDescent="0.25">
      <c r="B446" s="3" t="s">
        <v>69</v>
      </c>
      <c r="C446" s="125" t="s">
        <v>47</v>
      </c>
      <c r="D446" s="181">
        <f>D445*1/(1+D426)</f>
        <v>-422356.55861538462</v>
      </c>
      <c r="E446" s="181">
        <f>E445*1/(1+E426)*(1/(1+D426))</f>
        <v>-229007.60683760687</v>
      </c>
      <c r="F446" s="181">
        <f>F445*1/(1+F426)*(1/(1+E426))*(1/(1+D426))</f>
        <v>-141261.62393162394</v>
      </c>
      <c r="G446" s="181">
        <f>G445*1/(1+G426)*(1/(1+F426)*(1/(1+E426))*(1/(1+D426)))</f>
        <v>-56330.683760683751</v>
      </c>
      <c r="H446" s="181">
        <f>H445*1/(1+$H$11)*(1/(1+$G$11)*(1/(1+$F$11)*(1/(1+$E$11))*(1/(1+$D$11))))</f>
        <v>50120.816908968576</v>
      </c>
      <c r="I446" s="181">
        <f t="shared" ref="I446:AA446" si="678">I445*(1/((1+$H$11)^(I432-$G$18))*(1/(1+$G$11)*(1/(1+$F$11)*(1/(1+$E$11))*((1/(1+$D$11))))))</f>
        <v>89931.811800997268</v>
      </c>
      <c r="J446" s="181">
        <f t="shared" si="678"/>
        <v>85362.335623444262</v>
      </c>
      <c r="K446" s="181">
        <f t="shared" si="678"/>
        <v>81017.641870073276</v>
      </c>
      <c r="L446" s="181">
        <f t="shared" si="678"/>
        <v>76887.211563160919</v>
      </c>
      <c r="M446" s="181">
        <f t="shared" si="678"/>
        <v>72960.977460626353</v>
      </c>
      <c r="N446" s="181">
        <f t="shared" si="678"/>
        <v>69229.307859989072</v>
      </c>
      <c r="O446" s="181">
        <f t="shared" si="678"/>
        <v>65682.990706945959</v>
      </c>
      <c r="P446" s="181">
        <f t="shared" si="678"/>
        <v>62313.218031330485</v>
      </c>
      <c r="Q446" s="181">
        <f t="shared" si="678"/>
        <v>59111.570729312909</v>
      </c>
      <c r="R446" s="181">
        <f t="shared" si="678"/>
        <v>56070.003707187461</v>
      </c>
      <c r="S446" s="181">
        <f t="shared" si="678"/>
        <v>53180.831398938353</v>
      </c>
      <c r="T446" s="181">
        <f t="shared" si="678"/>
        <v>50436.713666951284</v>
      </c>
      <c r="U446" s="181">
        <f t="shared" si="678"/>
        <v>47830.642092710492</v>
      </c>
      <c r="V446" s="181">
        <f t="shared" si="678"/>
        <v>45355.926662069287</v>
      </c>
      <c r="W446" s="181">
        <f t="shared" si="678"/>
        <v>43006.182847678741</v>
      </c>
      <c r="X446" s="181">
        <f t="shared" si="678"/>
        <v>40775.319089383978</v>
      </c>
      <c r="Y446" s="181">
        <f t="shared" si="678"/>
        <v>38657.524671828964</v>
      </c>
      <c r="Z446" s="181">
        <f t="shared" si="678"/>
        <v>36647.257997130277</v>
      </c>
      <c r="AA446" s="181">
        <f t="shared" si="678"/>
        <v>34739.235249272337</v>
      </c>
    </row>
    <row r="447" spans="2:27" x14ac:dyDescent="0.25">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x14ac:dyDescent="0.25">
      <c r="B448" s="42" t="s">
        <v>168</v>
      </c>
      <c r="C448" s="126" t="s">
        <v>47</v>
      </c>
      <c r="D448" s="127">
        <f>SUM(D446:AA446)</f>
        <v>310361.04679270112</v>
      </c>
      <c r="E448" s="40"/>
      <c r="F448" s="40"/>
      <c r="G448" s="40"/>
      <c r="H448" s="40"/>
    </row>
    <row r="450" spans="2:27" x14ac:dyDescent="0.25">
      <c r="B450" s="42" t="s">
        <v>118</v>
      </c>
      <c r="C450" s="42"/>
      <c r="D450" s="241">
        <f>IFERROR(IRR(D445:AA445),0)</f>
        <v>0.11413380834600551</v>
      </c>
    </row>
    <row r="452" spans="2:27" x14ac:dyDescent="0.25">
      <c r="B452" s="42" t="s">
        <v>119</v>
      </c>
    </row>
    <row r="453" spans="2:27" x14ac:dyDescent="0.25">
      <c r="B453" s="3" t="s">
        <v>68</v>
      </c>
      <c r="C453" s="39"/>
      <c r="D453" s="21">
        <v>1</v>
      </c>
      <c r="E453" s="21">
        <v>2</v>
      </c>
      <c r="F453" s="21">
        <v>3</v>
      </c>
      <c r="G453" s="21">
        <v>4</v>
      </c>
      <c r="H453" s="21">
        <v>5</v>
      </c>
      <c r="I453" s="21">
        <v>6</v>
      </c>
      <c r="J453" s="21">
        <v>7</v>
      </c>
      <c r="K453" s="21">
        <v>8</v>
      </c>
      <c r="L453" s="21">
        <v>9</v>
      </c>
      <c r="M453" s="21">
        <v>10</v>
      </c>
      <c r="N453" s="21">
        <v>11</v>
      </c>
      <c r="O453" s="21">
        <v>12</v>
      </c>
      <c r="P453" s="21">
        <v>13</v>
      </c>
      <c r="Q453" s="21">
        <v>14</v>
      </c>
      <c r="R453" s="21">
        <v>15</v>
      </c>
      <c r="S453" s="21">
        <v>16</v>
      </c>
      <c r="T453" s="21">
        <v>17</v>
      </c>
      <c r="U453" s="21">
        <v>18</v>
      </c>
      <c r="V453" s="21">
        <v>19</v>
      </c>
      <c r="W453" s="21">
        <v>20</v>
      </c>
      <c r="X453" s="21">
        <v>21</v>
      </c>
      <c r="Y453" s="21">
        <v>22</v>
      </c>
      <c r="Z453" s="21">
        <v>23</v>
      </c>
      <c r="AA453" s="21">
        <v>24</v>
      </c>
    </row>
    <row r="454" spans="2:27" x14ac:dyDescent="0.25">
      <c r="B454" s="3" t="s">
        <v>117</v>
      </c>
      <c r="C454" s="125" t="s">
        <v>47</v>
      </c>
      <c r="D454" s="180">
        <f>D445</f>
        <v>-422356.55861538462</v>
      </c>
      <c r="E454" s="180">
        <f>E445</f>
        <v>-229007.60683760687</v>
      </c>
      <c r="F454" s="180">
        <f t="shared" ref="F454:AA454" si="679">F445</f>
        <v>-141261.62393162394</v>
      </c>
      <c r="G454" s="180">
        <f t="shared" si="679"/>
        <v>-56330.683760683751</v>
      </c>
      <c r="H454" s="180">
        <f t="shared" si="679"/>
        <v>70395.641025641031</v>
      </c>
      <c r="I454" s="180">
        <f t="shared" si="679"/>
        <v>135190.59999999998</v>
      </c>
      <c r="J454" s="180">
        <f t="shared" si="679"/>
        <v>137342.50599999999</v>
      </c>
      <c r="K454" s="180">
        <f t="shared" si="679"/>
        <v>139515.93105999997</v>
      </c>
      <c r="L454" s="180">
        <f t="shared" si="679"/>
        <v>141711.09037059997</v>
      </c>
      <c r="M454" s="180">
        <f t="shared" si="679"/>
        <v>143928.20127430599</v>
      </c>
      <c r="N454" s="180">
        <f t="shared" si="679"/>
        <v>146167.48328704905</v>
      </c>
      <c r="O454" s="180">
        <f t="shared" si="679"/>
        <v>148429.15811991951</v>
      </c>
      <c r="P454" s="180">
        <f t="shared" si="679"/>
        <v>150713.44970111872</v>
      </c>
      <c r="Q454" s="180">
        <f t="shared" si="679"/>
        <v>153020.58419812992</v>
      </c>
      <c r="R454" s="180">
        <f t="shared" si="679"/>
        <v>155350.79004011123</v>
      </c>
      <c r="S454" s="180">
        <f t="shared" si="679"/>
        <v>157704.29794051233</v>
      </c>
      <c r="T454" s="180">
        <f t="shared" si="679"/>
        <v>160081.34091991748</v>
      </c>
      <c r="U454" s="180">
        <f t="shared" si="679"/>
        <v>162482.15432911663</v>
      </c>
      <c r="V454" s="180">
        <f t="shared" si="679"/>
        <v>164906.97587240778</v>
      </c>
      <c r="W454" s="180">
        <f t="shared" si="679"/>
        <v>167356.04563113191</v>
      </c>
      <c r="X454" s="180">
        <f t="shared" si="679"/>
        <v>169829.60608744319</v>
      </c>
      <c r="Y454" s="180">
        <f t="shared" si="679"/>
        <v>172327.90214831763</v>
      </c>
      <c r="Z454" s="180">
        <f t="shared" si="679"/>
        <v>174851.18116980081</v>
      </c>
      <c r="AA454" s="180">
        <f t="shared" si="679"/>
        <v>177399.69298149884</v>
      </c>
    </row>
    <row r="455" spans="2:27" x14ac:dyDescent="0.25">
      <c r="B455" s="128" t="s">
        <v>120</v>
      </c>
      <c r="C455" s="129" t="s">
        <v>47</v>
      </c>
      <c r="D455" s="242">
        <f>D434*1/(1+D426)</f>
        <v>343516.55861538462</v>
      </c>
      <c r="E455" s="242">
        <f>E434*1/(1+E426)*(1/(1+D426))</f>
        <v>204837.60683760684</v>
      </c>
      <c r="F455" s="242">
        <f>F434*1/(1+F426)*(1/(1+E426))*(1/(1+D426))</f>
        <v>178411.62393162394</v>
      </c>
      <c r="G455" s="242">
        <f>G434*1/(1+G426)*(1/(1+F426)*(1/(1+E426))*(1/(1+D426)))</f>
        <v>149200.68376068375</v>
      </c>
      <c r="H455" s="242">
        <f>H434*1/(1+$H$11)*(1/(1+$G$11)*(1/(1+$F$11)*(1/(1+$E$11))*(1/(1+$D$11))))</f>
        <v>69898.917029776348</v>
      </c>
    </row>
    <row r="456" spans="2:27" x14ac:dyDescent="0.25">
      <c r="B456" s="3" t="s">
        <v>121</v>
      </c>
      <c r="C456" s="125" t="s">
        <v>47</v>
      </c>
      <c r="D456" s="181">
        <f>D454-D455</f>
        <v>-765873.11723076925</v>
      </c>
      <c r="E456" s="181">
        <f>D456+E454-E455</f>
        <v>-1199718.330905983</v>
      </c>
      <c r="F456" s="181">
        <f>E456+F454-F455</f>
        <v>-1519391.578769231</v>
      </c>
      <c r="G456" s="181">
        <f>F456+G454-G455</f>
        <v>-1724922.9462905985</v>
      </c>
      <c r="H456" s="181">
        <f>G456+H454-H455</f>
        <v>-1724426.2222947339</v>
      </c>
      <c r="I456" s="181">
        <f t="shared" ref="I456" si="680">H456+I454</f>
        <v>-1589235.6222947338</v>
      </c>
      <c r="J456" s="181">
        <f t="shared" ref="J456" si="681">I456+J454</f>
        <v>-1451893.1162947337</v>
      </c>
      <c r="K456" s="181">
        <f t="shared" ref="K456" si="682">J456+K454</f>
        <v>-1312377.1852347339</v>
      </c>
      <c r="L456" s="181">
        <f t="shared" ref="L456" si="683">K456+L454</f>
        <v>-1170666.094864134</v>
      </c>
      <c r="M456" s="181">
        <f t="shared" ref="M456" si="684">L456+M454</f>
        <v>-1026737.8935898279</v>
      </c>
      <c r="N456" s="181">
        <f t="shared" ref="N456" si="685">M456+N454</f>
        <v>-880570.41030277894</v>
      </c>
      <c r="O456" s="181">
        <f t="shared" ref="O456" si="686">N456+O454</f>
        <v>-732141.25218285946</v>
      </c>
      <c r="P456" s="181">
        <f t="shared" ref="P456" si="687">O456+P454</f>
        <v>-581427.80248174071</v>
      </c>
      <c r="Q456" s="181">
        <f t="shared" ref="Q456" si="688">P456+Q454</f>
        <v>-428407.21828361077</v>
      </c>
      <c r="R456" s="181">
        <f t="shared" ref="R456" si="689">Q456+R454</f>
        <v>-273056.42824349954</v>
      </c>
      <c r="S456" s="181">
        <f t="shared" ref="S456" si="690">R456+S454</f>
        <v>-115352.13030298721</v>
      </c>
      <c r="T456" s="181">
        <f t="shared" ref="T456" si="691">S456+T454</f>
        <v>44729.210616930271</v>
      </c>
      <c r="U456" s="181">
        <f t="shared" ref="U456" si="692">T456+U454</f>
        <v>207211.3649460469</v>
      </c>
      <c r="V456" s="181">
        <f t="shared" ref="V456" si="693">U456+V454</f>
        <v>372118.34081845469</v>
      </c>
      <c r="W456" s="181">
        <f t="shared" ref="W456" si="694">V456+W454</f>
        <v>539474.3864495866</v>
      </c>
      <c r="X456" s="181">
        <f t="shared" ref="X456" si="695">W456+X454</f>
        <v>709303.99253702979</v>
      </c>
      <c r="Y456" s="181">
        <f t="shared" ref="Y456" si="696">X456+Y454</f>
        <v>881631.89468534745</v>
      </c>
      <c r="Z456" s="181">
        <f t="shared" ref="Z456" si="697">Y456+Z454</f>
        <v>1056483.0758551483</v>
      </c>
      <c r="AA456" s="181">
        <f t="shared" ref="AA456" si="698">Z456+AA454</f>
        <v>1233882.768836647</v>
      </c>
    </row>
    <row r="457" spans="2:27" x14ac:dyDescent="0.25">
      <c r="B457" s="130" t="s">
        <v>122</v>
      </c>
    </row>
    <row r="459" spans="2:27" ht="15.75" x14ac:dyDescent="0.25">
      <c r="B459" s="448" t="s">
        <v>314</v>
      </c>
      <c r="C459" s="449"/>
      <c r="D459" s="449"/>
      <c r="E459" s="449"/>
      <c r="F459" s="449"/>
      <c r="G459" s="449"/>
      <c r="H459" s="449"/>
      <c r="I459" s="449"/>
      <c r="J459" s="449"/>
      <c r="K459" s="449"/>
      <c r="L459" s="449"/>
      <c r="M459" s="449"/>
      <c r="N459" s="449"/>
      <c r="O459" s="449"/>
      <c r="P459" s="449"/>
      <c r="Q459" s="449"/>
      <c r="R459" s="449"/>
      <c r="S459" s="449"/>
      <c r="T459" s="449"/>
      <c r="U459" s="449"/>
      <c r="V459" s="449"/>
      <c r="W459" s="449"/>
      <c r="X459" s="449"/>
      <c r="Y459" s="449"/>
      <c r="Z459" s="449"/>
      <c r="AA459" s="449"/>
    </row>
    <row r="460" spans="2:27" ht="15.75" x14ac:dyDescent="0.25">
      <c r="B460" s="116"/>
      <c r="C460" s="116"/>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row>
    <row r="461" spans="2:27" x14ac:dyDescent="0.25">
      <c r="B461" s="118" t="s">
        <v>105</v>
      </c>
      <c r="C461" s="110"/>
    </row>
    <row r="462" spans="2:27" x14ac:dyDescent="0.25">
      <c r="B462" s="3"/>
      <c r="C462" s="27" t="s">
        <v>20</v>
      </c>
      <c r="D462" s="27">
        <f>$C$3</f>
        <v>2023</v>
      </c>
      <c r="E462" s="27">
        <f>$C$3+1</f>
        <v>2024</v>
      </c>
      <c r="F462" s="27">
        <f>$C$3+2</f>
        <v>2025</v>
      </c>
      <c r="G462" s="27">
        <f>$C$3+3</f>
        <v>2026</v>
      </c>
      <c r="H462" s="27">
        <f>$C$3+4</f>
        <v>2027</v>
      </c>
      <c r="I462" s="27">
        <f>H462+1</f>
        <v>2028</v>
      </c>
      <c r="J462" s="27">
        <f t="shared" ref="J462" si="699">I462+1</f>
        <v>2029</v>
      </c>
      <c r="K462" s="27">
        <f t="shared" ref="K462" si="700">J462+1</f>
        <v>2030</v>
      </c>
      <c r="L462" s="27">
        <f t="shared" ref="L462" si="701">K462+1</f>
        <v>2031</v>
      </c>
      <c r="M462" s="27">
        <f t="shared" ref="M462" si="702">L462+1</f>
        <v>2032</v>
      </c>
      <c r="N462" s="27">
        <f t="shared" ref="N462" si="703">M462+1</f>
        <v>2033</v>
      </c>
      <c r="O462" s="27">
        <f t="shared" ref="O462" si="704">N462+1</f>
        <v>2034</v>
      </c>
      <c r="P462" s="27">
        <f t="shared" ref="P462" si="705">O462+1</f>
        <v>2035</v>
      </c>
      <c r="Q462" s="27">
        <f t="shared" ref="Q462" si="706">P462+1</f>
        <v>2036</v>
      </c>
      <c r="R462" s="27">
        <f t="shared" ref="R462" si="707">Q462+1</f>
        <v>2037</v>
      </c>
      <c r="S462" s="27">
        <f t="shared" ref="S462" si="708">R462+1</f>
        <v>2038</v>
      </c>
      <c r="T462" s="27">
        <f t="shared" ref="T462" si="709">S462+1</f>
        <v>2039</v>
      </c>
      <c r="U462" s="27">
        <f t="shared" ref="U462" si="710">T462+1</f>
        <v>2040</v>
      </c>
      <c r="V462" s="27">
        <f t="shared" ref="V462" si="711">U462+1</f>
        <v>2041</v>
      </c>
      <c r="W462" s="27">
        <f t="shared" ref="W462" si="712">V462+1</f>
        <v>2042</v>
      </c>
      <c r="X462" s="27">
        <f t="shared" ref="X462" si="713">W462+1</f>
        <v>2043</v>
      </c>
      <c r="Y462" s="27">
        <f t="shared" ref="Y462" si="714">X462+1</f>
        <v>2044</v>
      </c>
      <c r="Z462" s="27">
        <f t="shared" ref="Z462" si="715">Y462+1</f>
        <v>2045</v>
      </c>
      <c r="AA462" s="27">
        <f t="shared" ref="AA462" si="716">Z462+1</f>
        <v>2046</v>
      </c>
    </row>
    <row r="463" spans="2:27" x14ac:dyDescent="0.25">
      <c r="B463" s="3" t="s">
        <v>68</v>
      </c>
      <c r="C463" s="39"/>
      <c r="D463" s="21">
        <v>1</v>
      </c>
      <c r="E463" s="21">
        <v>2</v>
      </c>
      <c r="F463" s="21">
        <v>3</v>
      </c>
      <c r="G463" s="21">
        <v>4</v>
      </c>
      <c r="H463" s="21">
        <v>5</v>
      </c>
      <c r="I463" s="21">
        <v>6</v>
      </c>
      <c r="J463" s="21">
        <v>7</v>
      </c>
      <c r="K463" s="21">
        <v>8</v>
      </c>
      <c r="L463" s="21">
        <v>9</v>
      </c>
      <c r="M463" s="21">
        <v>10</v>
      </c>
      <c r="N463" s="21">
        <v>11</v>
      </c>
      <c r="O463" s="21">
        <v>12</v>
      </c>
      <c r="P463" s="21">
        <v>13</v>
      </c>
      <c r="Q463" s="21">
        <v>14</v>
      </c>
      <c r="R463" s="21">
        <v>15</v>
      </c>
      <c r="S463" s="21">
        <v>16</v>
      </c>
      <c r="T463" s="21">
        <v>17</v>
      </c>
      <c r="U463" s="21">
        <v>18</v>
      </c>
      <c r="V463" s="21">
        <v>19</v>
      </c>
      <c r="W463" s="21">
        <v>20</v>
      </c>
      <c r="X463" s="21">
        <v>21</v>
      </c>
      <c r="Y463" s="21">
        <v>22</v>
      </c>
      <c r="Z463" s="21">
        <v>23</v>
      </c>
      <c r="AA463" s="21">
        <v>24</v>
      </c>
    </row>
    <row r="464" spans="2:27" x14ac:dyDescent="0.25">
      <c r="B464" s="446" t="s">
        <v>106</v>
      </c>
      <c r="C464" s="447"/>
      <c r="D464" s="447"/>
      <c r="E464" s="447"/>
      <c r="F464" s="447"/>
      <c r="G464" s="447"/>
      <c r="H464" s="447"/>
      <c r="I464" s="447"/>
      <c r="J464" s="447"/>
      <c r="K464" s="447"/>
      <c r="L464" s="447"/>
      <c r="M464" s="447"/>
      <c r="N464" s="447"/>
      <c r="O464" s="447"/>
      <c r="P464" s="447"/>
      <c r="Q464" s="447"/>
      <c r="R464" s="447"/>
      <c r="S464" s="447"/>
      <c r="T464" s="447"/>
      <c r="U464" s="447"/>
      <c r="V464" s="447"/>
      <c r="W464" s="447"/>
      <c r="X464" s="447"/>
      <c r="Y464" s="447"/>
      <c r="Z464" s="447"/>
      <c r="AA464" s="447"/>
    </row>
    <row r="465" spans="2:27" x14ac:dyDescent="0.25">
      <c r="B465" s="3" t="s">
        <v>167</v>
      </c>
      <c r="C465" s="119" t="s">
        <v>47</v>
      </c>
      <c r="D465" s="36">
        <f>(Επενδύσεις!D25)*0.5</f>
        <v>332081.74157264957</v>
      </c>
      <c r="E465" s="36">
        <f>(Επενδύσεις!E25)*0.5</f>
        <v>199504.95726495725</v>
      </c>
      <c r="F465" s="36">
        <f>(Επενδύσεις!F25)*0.5</f>
        <v>189200.68376068375</v>
      </c>
      <c r="G465" s="36">
        <f>(Επενδύσεις!G25)*0.5</f>
        <v>153687.52136752137</v>
      </c>
      <c r="H465" s="36">
        <f>(Επενδύσεις!H25)*0.5</f>
        <v>98174.358974358969</v>
      </c>
      <c r="I465" s="120"/>
      <c r="J465" s="120"/>
      <c r="K465" s="120"/>
      <c r="L465" s="120"/>
      <c r="M465" s="120"/>
      <c r="N465" s="120"/>
      <c r="O465" s="120"/>
      <c r="P465" s="120"/>
      <c r="Q465" s="120"/>
      <c r="R465" s="120"/>
      <c r="S465" s="120"/>
      <c r="T465" s="120"/>
      <c r="U465" s="120"/>
      <c r="V465" s="120"/>
      <c r="W465" s="120"/>
      <c r="X465" s="120"/>
      <c r="Y465" s="120"/>
      <c r="Z465" s="120"/>
      <c r="AA465" s="120"/>
    </row>
    <row r="466" spans="2:27" x14ac:dyDescent="0.25">
      <c r="B466" s="3" t="s">
        <v>107</v>
      </c>
      <c r="C466" s="119" t="s">
        <v>47</v>
      </c>
      <c r="D466" s="120"/>
      <c r="E466" s="120"/>
      <c r="F466" s="120"/>
      <c r="G466" s="120"/>
      <c r="H466" s="120"/>
      <c r="I466" s="36"/>
      <c r="J466" s="36"/>
      <c r="K466" s="36"/>
      <c r="L466" s="36"/>
      <c r="M466" s="36"/>
      <c r="N466" s="36"/>
      <c r="O466" s="36"/>
      <c r="P466" s="36"/>
      <c r="Q466" s="36"/>
      <c r="R466" s="36"/>
      <c r="S466" s="36"/>
      <c r="T466" s="36"/>
      <c r="U466" s="36"/>
      <c r="V466" s="36"/>
      <c r="W466" s="36"/>
      <c r="X466" s="36"/>
      <c r="Y466" s="36"/>
      <c r="Z466" s="36"/>
      <c r="AA466" s="36"/>
    </row>
    <row r="467" spans="2:27" x14ac:dyDescent="0.25">
      <c r="B467" s="3" t="s">
        <v>108</v>
      </c>
      <c r="C467" s="121" t="s">
        <v>47</v>
      </c>
      <c r="D467" s="36">
        <v>160000</v>
      </c>
      <c r="E467" s="36">
        <v>160000</v>
      </c>
      <c r="F467" s="36">
        <v>160000</v>
      </c>
      <c r="G467" s="36">
        <v>160000</v>
      </c>
      <c r="H467" s="36">
        <v>120000</v>
      </c>
      <c r="I467" s="36">
        <v>120000</v>
      </c>
      <c r="J467" s="36">
        <f>I467</f>
        <v>120000</v>
      </c>
      <c r="K467" s="36">
        <f t="shared" ref="K467" si="717">J467</f>
        <v>120000</v>
      </c>
      <c r="L467" s="36">
        <f t="shared" ref="L467" si="718">K467</f>
        <v>120000</v>
      </c>
      <c r="M467" s="36">
        <f t="shared" ref="M467" si="719">L467</f>
        <v>120000</v>
      </c>
      <c r="N467" s="36">
        <f t="shared" ref="N467" si="720">M467</f>
        <v>120000</v>
      </c>
      <c r="O467" s="36">
        <f t="shared" ref="O467" si="721">N467</f>
        <v>120000</v>
      </c>
      <c r="P467" s="36">
        <f t="shared" ref="P467" si="722">O467</f>
        <v>120000</v>
      </c>
      <c r="Q467" s="36">
        <f t="shared" ref="Q467" si="723">P467</f>
        <v>120000</v>
      </c>
      <c r="R467" s="36">
        <f t="shared" ref="R467" si="724">Q467</f>
        <v>120000</v>
      </c>
      <c r="S467" s="36">
        <f t="shared" ref="S467" si="725">R467</f>
        <v>120000</v>
      </c>
      <c r="T467" s="36">
        <f t="shared" ref="T467" si="726">S467</f>
        <v>120000</v>
      </c>
      <c r="U467" s="36">
        <f t="shared" ref="U467" si="727">T467</f>
        <v>120000</v>
      </c>
      <c r="V467" s="36">
        <f t="shared" ref="V467" si="728">U467</f>
        <v>120000</v>
      </c>
      <c r="W467" s="36">
        <f t="shared" ref="W467" si="729">V467</f>
        <v>120000</v>
      </c>
      <c r="X467" s="36">
        <f t="shared" ref="X467" si="730">W467</f>
        <v>120000</v>
      </c>
      <c r="Y467" s="36">
        <f t="shared" ref="Y467" si="731">X467</f>
        <v>120000</v>
      </c>
      <c r="Z467" s="36">
        <f t="shared" ref="Z467" si="732">Y467</f>
        <v>120000</v>
      </c>
      <c r="AA467" s="36">
        <f t="shared" ref="AA467" si="733">Z467</f>
        <v>120000</v>
      </c>
    </row>
    <row r="468" spans="2:27" x14ac:dyDescent="0.25">
      <c r="B468" s="122" t="s">
        <v>109</v>
      </c>
      <c r="C468" s="121" t="s">
        <v>47</v>
      </c>
      <c r="D468" s="240">
        <f>D465+D467</f>
        <v>492081.74157264957</v>
      </c>
      <c r="E468" s="240">
        <f>E465+E467</f>
        <v>359504.95726495725</v>
      </c>
      <c r="F468" s="240">
        <f>F465+F467</f>
        <v>349200.68376068375</v>
      </c>
      <c r="G468" s="240">
        <f>G465+G467</f>
        <v>313687.52136752137</v>
      </c>
      <c r="H468" s="240">
        <f>H465+H467</f>
        <v>218174.35897435897</v>
      </c>
      <c r="I468" s="240">
        <f>I466+I467</f>
        <v>120000</v>
      </c>
      <c r="J468" s="240">
        <f t="shared" ref="J468:AA468" si="734">J466+J467</f>
        <v>120000</v>
      </c>
      <c r="K468" s="240">
        <f t="shared" si="734"/>
        <v>120000</v>
      </c>
      <c r="L468" s="240">
        <f t="shared" si="734"/>
        <v>120000</v>
      </c>
      <c r="M468" s="240">
        <f t="shared" si="734"/>
        <v>120000</v>
      </c>
      <c r="N468" s="240">
        <f t="shared" si="734"/>
        <v>120000</v>
      </c>
      <c r="O468" s="240">
        <f t="shared" si="734"/>
        <v>120000</v>
      </c>
      <c r="P468" s="240">
        <f t="shared" si="734"/>
        <v>120000</v>
      </c>
      <c r="Q468" s="240">
        <f t="shared" si="734"/>
        <v>120000</v>
      </c>
      <c r="R468" s="240">
        <f t="shared" si="734"/>
        <v>120000</v>
      </c>
      <c r="S468" s="240">
        <f t="shared" si="734"/>
        <v>120000</v>
      </c>
      <c r="T468" s="240">
        <f t="shared" si="734"/>
        <v>120000</v>
      </c>
      <c r="U468" s="240">
        <f t="shared" si="734"/>
        <v>120000</v>
      </c>
      <c r="V468" s="240">
        <f t="shared" si="734"/>
        <v>120000</v>
      </c>
      <c r="W468" s="240">
        <f t="shared" si="734"/>
        <v>120000</v>
      </c>
      <c r="X468" s="240">
        <f t="shared" si="734"/>
        <v>120000</v>
      </c>
      <c r="Y468" s="240">
        <f t="shared" si="734"/>
        <v>120000</v>
      </c>
      <c r="Z468" s="240">
        <f t="shared" si="734"/>
        <v>120000</v>
      </c>
      <c r="AA468" s="240">
        <f t="shared" si="734"/>
        <v>120000</v>
      </c>
    </row>
    <row r="469" spans="2:27" x14ac:dyDescent="0.25">
      <c r="B469" s="17" t="s">
        <v>110</v>
      </c>
    </row>
    <row r="470" spans="2:27" x14ac:dyDescent="0.25">
      <c r="B470" s="17" t="s">
        <v>111</v>
      </c>
    </row>
    <row r="471" spans="2:27" x14ac:dyDescent="0.25">
      <c r="B471" s="446" t="s">
        <v>112</v>
      </c>
      <c r="C471" s="447"/>
      <c r="D471" s="447"/>
      <c r="E471" s="447"/>
      <c r="F471" s="447"/>
      <c r="G471" s="447"/>
      <c r="H471" s="447"/>
      <c r="I471" s="447"/>
      <c r="J471" s="447"/>
      <c r="K471" s="447"/>
      <c r="L471" s="447"/>
      <c r="M471" s="447"/>
      <c r="N471" s="447"/>
      <c r="O471" s="447"/>
      <c r="P471" s="447"/>
      <c r="Q471" s="447"/>
      <c r="R471" s="447"/>
      <c r="S471" s="447"/>
      <c r="T471" s="447"/>
      <c r="U471" s="447"/>
      <c r="V471" s="447"/>
      <c r="W471" s="447"/>
      <c r="X471" s="447"/>
      <c r="Y471" s="447"/>
      <c r="Z471" s="447"/>
      <c r="AA471" s="447"/>
    </row>
    <row r="472" spans="2:27" x14ac:dyDescent="0.25">
      <c r="B472" s="123" t="s">
        <v>113</v>
      </c>
      <c r="C472" s="119" t="s">
        <v>26</v>
      </c>
      <c r="D472" s="36">
        <f>'Διανεμόμενες ποσότητες αερίου'!T28</f>
        <v>2520</v>
      </c>
      <c r="E472" s="36">
        <f>'Διανεμόμενες ποσότητες αερίου'!Z28</f>
        <v>6645</v>
      </c>
      <c r="F472" s="36">
        <f>'Διανεμόμενες ποσότητες αερίου'!AF28</f>
        <v>11090</v>
      </c>
      <c r="G472" s="36">
        <f>'Διανεμόμενες ποσότητες αερίου'!AL28</f>
        <v>14985</v>
      </c>
      <c r="H472" s="36">
        <f>'Διανεμόμενες ποσότητες αερίου'!AR28</f>
        <v>16815</v>
      </c>
      <c r="I472" s="36">
        <f>H472*1.01</f>
        <v>16983.150000000001</v>
      </c>
      <c r="J472" s="36">
        <f t="shared" ref="J472" si="735">I472*1.01</f>
        <v>17152.981500000002</v>
      </c>
      <c r="K472" s="36">
        <f t="shared" ref="K472" si="736">J472*1.01</f>
        <v>17324.511315000003</v>
      </c>
      <c r="L472" s="36">
        <f t="shared" ref="L472" si="737">K472*1.01</f>
        <v>17497.756428150005</v>
      </c>
      <c r="M472" s="36">
        <f t="shared" ref="M472" si="738">L472*1.01</f>
        <v>17672.733992431506</v>
      </c>
      <c r="N472" s="36">
        <f t="shared" ref="N472" si="739">M472*1.01</f>
        <v>17849.461332355822</v>
      </c>
      <c r="O472" s="36">
        <f t="shared" ref="O472" si="740">N472*1.01</f>
        <v>18027.95594567938</v>
      </c>
      <c r="P472" s="36">
        <f t="shared" ref="P472" si="741">O472*1.01</f>
        <v>18208.235505136174</v>
      </c>
      <c r="Q472" s="36">
        <f t="shared" ref="Q472" si="742">P472*1.01</f>
        <v>18390.317860187537</v>
      </c>
      <c r="R472" s="36">
        <f t="shared" ref="R472" si="743">Q472*1.01</f>
        <v>18574.221038789412</v>
      </c>
      <c r="S472" s="36">
        <f t="shared" ref="S472" si="744">R472*1.01</f>
        <v>18759.963249177305</v>
      </c>
      <c r="T472" s="36">
        <f t="shared" ref="T472" si="745">S472*1.01</f>
        <v>18947.562881669077</v>
      </c>
      <c r="U472" s="36">
        <f t="shared" ref="U472" si="746">T472*1.01</f>
        <v>19137.038510485767</v>
      </c>
      <c r="V472" s="36">
        <f t="shared" ref="V472" si="747">U472*1.01</f>
        <v>19328.408895590626</v>
      </c>
      <c r="W472" s="36">
        <f t="shared" ref="W472" si="748">V472*1.01</f>
        <v>19521.692984546531</v>
      </c>
      <c r="X472" s="36">
        <f t="shared" ref="X472" si="749">W472*1.01</f>
        <v>19716.909914391996</v>
      </c>
      <c r="Y472" s="36">
        <f t="shared" ref="Y472" si="750">X472*1.01</f>
        <v>19914.079013535917</v>
      </c>
      <c r="Z472" s="36">
        <f t="shared" ref="Z472" si="751">Y472*1.01</f>
        <v>20113.219803671276</v>
      </c>
      <c r="AA472" s="36">
        <f t="shared" ref="AA472" si="752">Z472*1.01</f>
        <v>20314.35200170799</v>
      </c>
    </row>
    <row r="473" spans="2:27" x14ac:dyDescent="0.25">
      <c r="B473" s="123" t="s">
        <v>114</v>
      </c>
      <c r="C473" s="121" t="s">
        <v>47</v>
      </c>
      <c r="D473" s="180">
        <f>D472*18</f>
        <v>45360</v>
      </c>
      <c r="E473" s="180">
        <f t="shared" ref="E473" si="753">E472*18</f>
        <v>119610</v>
      </c>
      <c r="F473" s="180">
        <f t="shared" ref="F473" si="754">F472*18</f>
        <v>199620</v>
      </c>
      <c r="G473" s="180">
        <f t="shared" ref="G473" si="755">G472*18</f>
        <v>269730</v>
      </c>
      <c r="H473" s="180">
        <f t="shared" ref="H473" si="756">H472*18</f>
        <v>302670</v>
      </c>
      <c r="I473" s="180">
        <f>I472*17</f>
        <v>288713.55000000005</v>
      </c>
      <c r="J473" s="180">
        <f t="shared" ref="J473" si="757">J472*17</f>
        <v>291600.68550000002</v>
      </c>
      <c r="K473" s="180">
        <f t="shared" ref="K473" si="758">K472*17</f>
        <v>294516.69235500006</v>
      </c>
      <c r="L473" s="180">
        <f t="shared" ref="L473" si="759">L472*17</f>
        <v>297461.85927855008</v>
      </c>
      <c r="M473" s="180">
        <f t="shared" ref="M473" si="760">M472*17</f>
        <v>300436.47787133558</v>
      </c>
      <c r="N473" s="180">
        <f t="shared" ref="N473" si="761">N472*17</f>
        <v>303440.84265004896</v>
      </c>
      <c r="O473" s="180">
        <f t="shared" ref="O473" si="762">O472*17</f>
        <v>306475.25107654947</v>
      </c>
      <c r="P473" s="180">
        <f t="shared" ref="P473" si="763">P472*17</f>
        <v>309540.00358731498</v>
      </c>
      <c r="Q473" s="180">
        <f t="shared" ref="Q473" si="764">Q472*17</f>
        <v>312635.40362318815</v>
      </c>
      <c r="R473" s="180">
        <f t="shared" ref="R473" si="765">R472*17</f>
        <v>315761.75765942002</v>
      </c>
      <c r="S473" s="180">
        <f t="shared" ref="S473" si="766">S472*17</f>
        <v>318919.3752360142</v>
      </c>
      <c r="T473" s="180">
        <f t="shared" ref="T473" si="767">T472*17</f>
        <v>322108.56898837432</v>
      </c>
      <c r="U473" s="180">
        <f t="shared" ref="U473" si="768">U472*17</f>
        <v>325329.65467825806</v>
      </c>
      <c r="V473" s="180">
        <f t="shared" ref="V473" si="769">V472*17</f>
        <v>328582.95122504066</v>
      </c>
      <c r="W473" s="180">
        <f t="shared" ref="W473" si="770">W472*17</f>
        <v>331868.78073729103</v>
      </c>
      <c r="X473" s="180">
        <f t="shared" ref="X473" si="771">X472*17</f>
        <v>335187.46854466392</v>
      </c>
      <c r="Y473" s="180">
        <f t="shared" ref="Y473" si="772">Y472*17</f>
        <v>338539.34323011059</v>
      </c>
      <c r="Z473" s="180">
        <f t="shared" ref="Z473" si="773">Z472*17</f>
        <v>341924.73666241171</v>
      </c>
      <c r="AA473" s="180">
        <f t="shared" ref="AA473" si="774">AA472*17</f>
        <v>345343.98402903584</v>
      </c>
    </row>
    <row r="474" spans="2:27" x14ac:dyDescent="0.25">
      <c r="B474" s="122" t="s">
        <v>115</v>
      </c>
      <c r="C474" s="121" t="s">
        <v>47</v>
      </c>
      <c r="D474" s="240">
        <f>D473</f>
        <v>45360</v>
      </c>
      <c r="E474" s="240">
        <f t="shared" ref="E474:G474" si="775">E473</f>
        <v>119610</v>
      </c>
      <c r="F474" s="240">
        <f t="shared" si="775"/>
        <v>199620</v>
      </c>
      <c r="G474" s="240">
        <f t="shared" si="775"/>
        <v>269730</v>
      </c>
      <c r="H474" s="240">
        <f>H473</f>
        <v>302670</v>
      </c>
      <c r="I474" s="240">
        <f t="shared" ref="I474:AA474" si="776">I473</f>
        <v>288713.55000000005</v>
      </c>
      <c r="J474" s="240">
        <f t="shared" si="776"/>
        <v>291600.68550000002</v>
      </c>
      <c r="K474" s="240">
        <f t="shared" si="776"/>
        <v>294516.69235500006</v>
      </c>
      <c r="L474" s="240">
        <f t="shared" si="776"/>
        <v>297461.85927855008</v>
      </c>
      <c r="M474" s="240">
        <f t="shared" si="776"/>
        <v>300436.47787133558</v>
      </c>
      <c r="N474" s="240">
        <f t="shared" si="776"/>
        <v>303440.84265004896</v>
      </c>
      <c r="O474" s="240">
        <f t="shared" si="776"/>
        <v>306475.25107654947</v>
      </c>
      <c r="P474" s="240">
        <f t="shared" si="776"/>
        <v>309540.00358731498</v>
      </c>
      <c r="Q474" s="240">
        <f t="shared" si="776"/>
        <v>312635.40362318815</v>
      </c>
      <c r="R474" s="240">
        <f t="shared" si="776"/>
        <v>315761.75765942002</v>
      </c>
      <c r="S474" s="240">
        <f t="shared" si="776"/>
        <v>318919.3752360142</v>
      </c>
      <c r="T474" s="240">
        <f t="shared" si="776"/>
        <v>322108.56898837432</v>
      </c>
      <c r="U474" s="240">
        <f t="shared" si="776"/>
        <v>325329.65467825806</v>
      </c>
      <c r="V474" s="240">
        <f t="shared" si="776"/>
        <v>328582.95122504066</v>
      </c>
      <c r="W474" s="240">
        <f t="shared" si="776"/>
        <v>331868.78073729103</v>
      </c>
      <c r="X474" s="240">
        <f t="shared" si="776"/>
        <v>335187.46854466392</v>
      </c>
      <c r="Y474" s="240">
        <f t="shared" si="776"/>
        <v>338539.34323011059</v>
      </c>
      <c r="Z474" s="240">
        <f t="shared" si="776"/>
        <v>341924.73666241171</v>
      </c>
      <c r="AA474" s="240">
        <f t="shared" si="776"/>
        <v>345343.98402903584</v>
      </c>
    </row>
    <row r="475" spans="2:27" x14ac:dyDescent="0.25">
      <c r="B475" s="124" t="s">
        <v>116</v>
      </c>
    </row>
    <row r="476" spans="2:27" x14ac:dyDescent="0.25">
      <c r="B476" s="3" t="s">
        <v>117</v>
      </c>
      <c r="C476" s="125" t="s">
        <v>47</v>
      </c>
      <c r="D476" s="181">
        <f>D474-D468</f>
        <v>-446721.74157264957</v>
      </c>
      <c r="E476" s="181">
        <f t="shared" ref="E476:AA476" si="777">E474-E468</f>
        <v>-239894.95726495725</v>
      </c>
      <c r="F476" s="181">
        <f t="shared" si="777"/>
        <v>-149580.68376068375</v>
      </c>
      <c r="G476" s="181">
        <f t="shared" si="777"/>
        <v>-43957.521367521374</v>
      </c>
      <c r="H476" s="181">
        <f t="shared" si="777"/>
        <v>84495.641025641031</v>
      </c>
      <c r="I476" s="181">
        <f t="shared" si="777"/>
        <v>168713.55000000005</v>
      </c>
      <c r="J476" s="181">
        <f t="shared" si="777"/>
        <v>171600.68550000002</v>
      </c>
      <c r="K476" s="181">
        <f t="shared" si="777"/>
        <v>174516.69235500006</v>
      </c>
      <c r="L476" s="181">
        <f t="shared" si="777"/>
        <v>177461.85927855008</v>
      </c>
      <c r="M476" s="181">
        <f t="shared" si="777"/>
        <v>180436.47787133558</v>
      </c>
      <c r="N476" s="181">
        <f t="shared" si="777"/>
        <v>183440.84265004896</v>
      </c>
      <c r="O476" s="181">
        <f t="shared" si="777"/>
        <v>186475.25107654947</v>
      </c>
      <c r="P476" s="181">
        <f t="shared" si="777"/>
        <v>189540.00358731498</v>
      </c>
      <c r="Q476" s="181">
        <f t="shared" si="777"/>
        <v>192635.40362318815</v>
      </c>
      <c r="R476" s="181">
        <f t="shared" si="777"/>
        <v>195761.75765942002</v>
      </c>
      <c r="S476" s="181">
        <f t="shared" si="777"/>
        <v>198919.3752360142</v>
      </c>
      <c r="T476" s="181">
        <f t="shared" si="777"/>
        <v>202108.56898837432</v>
      </c>
      <c r="U476" s="181">
        <f t="shared" si="777"/>
        <v>205329.65467825806</v>
      </c>
      <c r="V476" s="181">
        <f t="shared" si="777"/>
        <v>208582.95122504066</v>
      </c>
      <c r="W476" s="181">
        <f t="shared" si="777"/>
        <v>211868.78073729103</v>
      </c>
      <c r="X476" s="181">
        <f t="shared" si="777"/>
        <v>215187.46854466392</v>
      </c>
      <c r="Y476" s="181">
        <f t="shared" si="777"/>
        <v>218539.34323011059</v>
      </c>
      <c r="Z476" s="181">
        <f t="shared" si="777"/>
        <v>221924.73666241171</v>
      </c>
      <c r="AA476" s="181">
        <f t="shared" si="777"/>
        <v>225343.98402903584</v>
      </c>
    </row>
    <row r="477" spans="2:27" x14ac:dyDescent="0.25">
      <c r="B477" s="3" t="s">
        <v>69</v>
      </c>
      <c r="C477" s="125" t="s">
        <v>47</v>
      </c>
      <c r="D477" s="181">
        <f>D476*1/(1+D457)</f>
        <v>-446721.74157264957</v>
      </c>
      <c r="E477" s="181">
        <f>E476*1/(1+E457)*(1/(1+D457))</f>
        <v>-239894.95726495725</v>
      </c>
      <c r="F477" s="181">
        <f>F476*1/(1+F457)*(1/(1+E457))*(1/(1+D457))</f>
        <v>-149580.68376068375</v>
      </c>
      <c r="G477" s="181">
        <f>G476*1/(1+G457)*(1/(1+F457)*(1/(1+E457))*(1/(1+D457)))</f>
        <v>-43957.521367521374</v>
      </c>
      <c r="H477" s="181">
        <f>H476*1/(1+$H$11)*(1/(1+$G$11)*(1/(1+$F$11)*(1/(1+$E$11))*(1/(1+$D$11))))</f>
        <v>60159.84074794528</v>
      </c>
      <c r="I477" s="181">
        <f t="shared" ref="I477:AA477" si="778">I476*(1/((1+$H$11)^(I463-$G$18))*(1/(1+$G$11)*(1/(1+$F$11)*(1/(1+$E$11))*((1/(1+$D$11))))))</f>
        <v>112232.02816525816</v>
      </c>
      <c r="J477" s="181">
        <f t="shared" si="778"/>
        <v>106654.78398118139</v>
      </c>
      <c r="K477" s="181">
        <f t="shared" si="778"/>
        <v>101342.76977649661</v>
      </c>
      <c r="L477" s="181">
        <f t="shared" si="778"/>
        <v>96284.260343060159</v>
      </c>
      <c r="M477" s="181">
        <f t="shared" si="778"/>
        <v>91467.97971827013</v>
      </c>
      <c r="N477" s="181">
        <f t="shared" si="778"/>
        <v>86883.089756538699</v>
      </c>
      <c r="O477" s="181">
        <f t="shared" si="778"/>
        <v>82519.178432857196</v>
      </c>
      <c r="P477" s="181">
        <f t="shared" si="778"/>
        <v>78366.247953435639</v>
      </c>
      <c r="Q477" s="181">
        <f t="shared" si="778"/>
        <v>74414.702740240798</v>
      </c>
      <c r="R477" s="181">
        <f t="shared" si="778"/>
        <v>70655.337348816451</v>
      </c>
      <c r="S477" s="181">
        <f t="shared" si="778"/>
        <v>67079.324371990268</v>
      </c>
      <c r="T477" s="181">
        <f t="shared" si="778"/>
        <v>63678.202375899746</v>
      </c>
      <c r="U477" s="181">
        <f t="shared" si="778"/>
        <v>60443.863909155953</v>
      </c>
      <c r="V477" s="181">
        <f t="shared" si="778"/>
        <v>57368.543620863551</v>
      </c>
      <c r="W477" s="181">
        <f t="shared" si="778"/>
        <v>54444.806518586396</v>
      </c>
      <c r="X477" s="181">
        <f t="shared" si="778"/>
        <v>51665.53639315191</v>
      </c>
      <c r="Y477" s="181">
        <f t="shared" si="778"/>
        <v>49023.924433387379</v>
      </c>
      <c r="Z477" s="181">
        <f t="shared" si="778"/>
        <v>46513.458050446767</v>
      </c>
      <c r="AA477" s="181">
        <f t="shared" si="778"/>
        <v>44127.909928284724</v>
      </c>
    </row>
    <row r="478" spans="2:27" x14ac:dyDescent="0.25">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x14ac:dyDescent="0.25">
      <c r="B479" s="42" t="s">
        <v>168</v>
      </c>
      <c r="C479" s="126" t="s">
        <v>47</v>
      </c>
      <c r="D479" s="127">
        <f>SUM(D477:AA477)</f>
        <v>575170.88460005517</v>
      </c>
      <c r="E479" s="40"/>
      <c r="F479" s="40"/>
      <c r="G479" s="40"/>
      <c r="H479" s="40"/>
    </row>
    <row r="481" spans="2:27" x14ac:dyDescent="0.25">
      <c r="B481" s="42" t="s">
        <v>118</v>
      </c>
      <c r="C481" s="42"/>
      <c r="D481" s="241">
        <f>IFERROR(IRR(D476:AA476),0)</f>
        <v>0.13492728700499712</v>
      </c>
    </row>
    <row r="483" spans="2:27" x14ac:dyDescent="0.25">
      <c r="B483" s="42" t="s">
        <v>119</v>
      </c>
    </row>
    <row r="484" spans="2:27" x14ac:dyDescent="0.25">
      <c r="B484" s="3" t="s">
        <v>68</v>
      </c>
      <c r="C484" s="39"/>
      <c r="D484" s="21">
        <v>1</v>
      </c>
      <c r="E484" s="21">
        <v>2</v>
      </c>
      <c r="F484" s="21">
        <v>3</v>
      </c>
      <c r="G484" s="21">
        <v>4</v>
      </c>
      <c r="H484" s="21">
        <v>5</v>
      </c>
      <c r="I484" s="21">
        <v>6</v>
      </c>
      <c r="J484" s="21">
        <v>7</v>
      </c>
      <c r="K484" s="21">
        <v>8</v>
      </c>
      <c r="L484" s="21">
        <v>9</v>
      </c>
      <c r="M484" s="21">
        <v>10</v>
      </c>
      <c r="N484" s="21">
        <v>11</v>
      </c>
      <c r="O484" s="21">
        <v>12</v>
      </c>
      <c r="P484" s="21">
        <v>13</v>
      </c>
      <c r="Q484" s="21">
        <v>14</v>
      </c>
      <c r="R484" s="21">
        <v>15</v>
      </c>
      <c r="S484" s="21">
        <v>16</v>
      </c>
      <c r="T484" s="21">
        <v>17</v>
      </c>
      <c r="U484" s="21">
        <v>18</v>
      </c>
      <c r="V484" s="21">
        <v>19</v>
      </c>
      <c r="W484" s="21">
        <v>20</v>
      </c>
      <c r="X484" s="21">
        <v>21</v>
      </c>
      <c r="Y484" s="21">
        <v>22</v>
      </c>
      <c r="Z484" s="21">
        <v>23</v>
      </c>
      <c r="AA484" s="21">
        <v>24</v>
      </c>
    </row>
    <row r="485" spans="2:27" x14ac:dyDescent="0.25">
      <c r="B485" s="3" t="s">
        <v>117</v>
      </c>
      <c r="C485" s="125" t="s">
        <v>47</v>
      </c>
      <c r="D485" s="180">
        <f>D476</f>
        <v>-446721.74157264957</v>
      </c>
      <c r="E485" s="180">
        <f>E476</f>
        <v>-239894.95726495725</v>
      </c>
      <c r="F485" s="180">
        <f t="shared" ref="F485:AA485" si="779">F476</f>
        <v>-149580.68376068375</v>
      </c>
      <c r="G485" s="180">
        <f t="shared" si="779"/>
        <v>-43957.521367521374</v>
      </c>
      <c r="H485" s="180">
        <f t="shared" si="779"/>
        <v>84495.641025641031</v>
      </c>
      <c r="I485" s="180">
        <f t="shared" si="779"/>
        <v>168713.55000000005</v>
      </c>
      <c r="J485" s="180">
        <f t="shared" si="779"/>
        <v>171600.68550000002</v>
      </c>
      <c r="K485" s="180">
        <f t="shared" si="779"/>
        <v>174516.69235500006</v>
      </c>
      <c r="L485" s="180">
        <f t="shared" si="779"/>
        <v>177461.85927855008</v>
      </c>
      <c r="M485" s="180">
        <f t="shared" si="779"/>
        <v>180436.47787133558</v>
      </c>
      <c r="N485" s="180">
        <f t="shared" si="779"/>
        <v>183440.84265004896</v>
      </c>
      <c r="O485" s="180">
        <f t="shared" si="779"/>
        <v>186475.25107654947</v>
      </c>
      <c r="P485" s="180">
        <f t="shared" si="779"/>
        <v>189540.00358731498</v>
      </c>
      <c r="Q485" s="180">
        <f t="shared" si="779"/>
        <v>192635.40362318815</v>
      </c>
      <c r="R485" s="180">
        <f t="shared" si="779"/>
        <v>195761.75765942002</v>
      </c>
      <c r="S485" s="180">
        <f t="shared" si="779"/>
        <v>198919.3752360142</v>
      </c>
      <c r="T485" s="180">
        <f t="shared" si="779"/>
        <v>202108.56898837432</v>
      </c>
      <c r="U485" s="180">
        <f t="shared" si="779"/>
        <v>205329.65467825806</v>
      </c>
      <c r="V485" s="180">
        <f t="shared" si="779"/>
        <v>208582.95122504066</v>
      </c>
      <c r="W485" s="180">
        <f t="shared" si="779"/>
        <v>211868.78073729103</v>
      </c>
      <c r="X485" s="180">
        <f t="shared" si="779"/>
        <v>215187.46854466392</v>
      </c>
      <c r="Y485" s="180">
        <f t="shared" si="779"/>
        <v>218539.34323011059</v>
      </c>
      <c r="Z485" s="180">
        <f t="shared" si="779"/>
        <v>221924.73666241171</v>
      </c>
      <c r="AA485" s="180">
        <f t="shared" si="779"/>
        <v>225343.98402903584</v>
      </c>
    </row>
    <row r="486" spans="2:27" x14ac:dyDescent="0.25">
      <c r="B486" s="128" t="s">
        <v>120</v>
      </c>
      <c r="C486" s="129" t="s">
        <v>47</v>
      </c>
      <c r="D486" s="242">
        <f>D465*1/(1+D457)</f>
        <v>332081.74157264957</v>
      </c>
      <c r="E486" s="242">
        <f>E465*1/(1+E457)*(1/(1+D457))</f>
        <v>199504.95726495725</v>
      </c>
      <c r="F486" s="242">
        <f>F465*1/(1+F457)*(1/(1+E457))*(1/(1+D457))</f>
        <v>189200.68376068375</v>
      </c>
      <c r="G486" s="242">
        <f>G465*1/(1+G457)*(1/(1+F457)*(1/(1+E457))*(1/(1+D457)))</f>
        <v>153687.52136752137</v>
      </c>
      <c r="H486" s="242">
        <f>H465*1/(1+$H$11)*(1/(1+$G$11)*(1/(1+$F$11)*(1/(1+$E$11))*(1/(1+$D$11))))</f>
        <v>69898.917029776348</v>
      </c>
    </row>
    <row r="487" spans="2:27" x14ac:dyDescent="0.25">
      <c r="B487" s="3" t="s">
        <v>121</v>
      </c>
      <c r="C487" s="125" t="s">
        <v>47</v>
      </c>
      <c r="D487" s="181">
        <f>D485-D486</f>
        <v>-778803.48314529913</v>
      </c>
      <c r="E487" s="181">
        <f>D487+E485-E486</f>
        <v>-1218203.3976752136</v>
      </c>
      <c r="F487" s="181">
        <f>E487+F485-F486</f>
        <v>-1556984.7651965811</v>
      </c>
      <c r="G487" s="181">
        <f>F487+G485-G486</f>
        <v>-1754629.8079316239</v>
      </c>
      <c r="H487" s="181">
        <f>G487+H485-H486</f>
        <v>-1740033.0839357593</v>
      </c>
      <c r="I487" s="181">
        <f t="shared" ref="I487" si="780">H487+I485</f>
        <v>-1571319.5339357592</v>
      </c>
      <c r="J487" s="181">
        <f t="shared" ref="J487" si="781">I487+J485</f>
        <v>-1399718.8484357591</v>
      </c>
      <c r="K487" s="181">
        <f t="shared" ref="K487" si="782">J487+K485</f>
        <v>-1225202.1560807591</v>
      </c>
      <c r="L487" s="181">
        <f t="shared" ref="L487" si="783">K487+L485</f>
        <v>-1047740.296802209</v>
      </c>
      <c r="M487" s="181">
        <f t="shared" ref="M487" si="784">L487+M485</f>
        <v>-867303.81893087341</v>
      </c>
      <c r="N487" s="181">
        <f t="shared" ref="N487" si="785">M487+N485</f>
        <v>-683862.97628082451</v>
      </c>
      <c r="O487" s="181">
        <f t="shared" ref="O487" si="786">N487+O485</f>
        <v>-497387.72520427505</v>
      </c>
      <c r="P487" s="181">
        <f t="shared" ref="P487" si="787">O487+P485</f>
        <v>-307847.72161696007</v>
      </c>
      <c r="Q487" s="181">
        <f t="shared" ref="Q487" si="788">P487+Q485</f>
        <v>-115212.31799377193</v>
      </c>
      <c r="R487" s="181">
        <f t="shared" ref="R487" si="789">Q487+R485</f>
        <v>80549.439665648097</v>
      </c>
      <c r="S487" s="181">
        <f t="shared" ref="S487" si="790">R487+S485</f>
        <v>279468.81490166229</v>
      </c>
      <c r="T487" s="181">
        <f t="shared" ref="T487" si="791">S487+T485</f>
        <v>481577.38389003661</v>
      </c>
      <c r="U487" s="181">
        <f t="shared" ref="U487" si="792">T487+U485</f>
        <v>686907.03856829461</v>
      </c>
      <c r="V487" s="181">
        <f t="shared" ref="V487" si="793">U487+V485</f>
        <v>895489.98979333532</v>
      </c>
      <c r="W487" s="181">
        <f t="shared" ref="W487" si="794">V487+W485</f>
        <v>1107358.7705306264</v>
      </c>
      <c r="X487" s="181">
        <f t="shared" ref="X487" si="795">W487+X485</f>
        <v>1322546.2390752903</v>
      </c>
      <c r="Y487" s="181">
        <f t="shared" ref="Y487" si="796">X487+Y485</f>
        <v>1541085.5823054009</v>
      </c>
      <c r="Z487" s="181">
        <f t="shared" ref="Z487" si="797">Y487+Z485</f>
        <v>1763010.3189678127</v>
      </c>
      <c r="AA487" s="181">
        <f t="shared" ref="AA487" si="798">Z487+AA485</f>
        <v>1988354.3029968485</v>
      </c>
    </row>
    <row r="488" spans="2:27" x14ac:dyDescent="0.25">
      <c r="B488" s="130" t="s">
        <v>122</v>
      </c>
    </row>
    <row r="490" spans="2:27" ht="19.5" x14ac:dyDescent="0.3">
      <c r="B490" s="342" t="s">
        <v>301</v>
      </c>
      <c r="C490" s="340" t="s">
        <v>47</v>
      </c>
      <c r="D490" s="341">
        <f>D34+D70+D106+D142+D178+D214+D250+D286+D322+D355+D386+D417+D448+D479</f>
        <v>40046211.208057597</v>
      </c>
    </row>
  </sheetData>
  <mergeCells count="54">
    <mergeCell ref="B471:AA471"/>
    <mergeCell ref="B335:AA335"/>
    <mergeCell ref="B340:AA340"/>
    <mergeCell ref="B347:AA347"/>
    <mergeCell ref="B409:AA409"/>
    <mergeCell ref="B428:AA428"/>
    <mergeCell ref="B440:AA440"/>
    <mergeCell ref="B459:AA459"/>
    <mergeCell ref="B464:AA464"/>
    <mergeCell ref="B366:AA366"/>
    <mergeCell ref="B371:AA371"/>
    <mergeCell ref="B378:AA378"/>
    <mergeCell ref="B397:AA397"/>
    <mergeCell ref="B402:AA402"/>
    <mergeCell ref="B433:AA433"/>
    <mergeCell ref="B9:AA9"/>
    <mergeCell ref="B14:AA14"/>
    <mergeCell ref="B19:AA19"/>
    <mergeCell ref="B26:AA26"/>
    <mergeCell ref="C2:H2"/>
    <mergeCell ref="J2:L2"/>
    <mergeCell ref="B5:I5"/>
    <mergeCell ref="B45:AA45"/>
    <mergeCell ref="B50:AA50"/>
    <mergeCell ref="B55:AA55"/>
    <mergeCell ref="B62:AA62"/>
    <mergeCell ref="B81:AA81"/>
    <mergeCell ref="B86:AA86"/>
    <mergeCell ref="B91:AA91"/>
    <mergeCell ref="B98:AA98"/>
    <mergeCell ref="B117:AA117"/>
    <mergeCell ref="B122:AA122"/>
    <mergeCell ref="B127:AA127"/>
    <mergeCell ref="B134:AA134"/>
    <mergeCell ref="B153:AA153"/>
    <mergeCell ref="B158:AA158"/>
    <mergeCell ref="B163:AA163"/>
    <mergeCell ref="B170:AA170"/>
    <mergeCell ref="B189:AA189"/>
    <mergeCell ref="B194:AA194"/>
    <mergeCell ref="B199:AA199"/>
    <mergeCell ref="B206:AA206"/>
    <mergeCell ref="B225:AA225"/>
    <mergeCell ref="B230:AA230"/>
    <mergeCell ref="B235:AA235"/>
    <mergeCell ref="B242:AA242"/>
    <mergeCell ref="B261:AA261"/>
    <mergeCell ref="B307:AA307"/>
    <mergeCell ref="B314:AA314"/>
    <mergeCell ref="B266:AA266"/>
    <mergeCell ref="B271:AA271"/>
    <mergeCell ref="B278:AA278"/>
    <mergeCell ref="B297:AA297"/>
    <mergeCell ref="B302:AA302"/>
  </mergeCells>
  <conditionalFormatting sqref="D34">
    <cfRule type="cellIs" dxfId="31" priority="63" operator="lessThan">
      <formula>0</formula>
    </cfRule>
    <cfRule type="cellIs" dxfId="30" priority="64" operator="greaterThanOrEqual">
      <formula>0</formula>
    </cfRule>
  </conditionalFormatting>
  <conditionalFormatting sqref="D70">
    <cfRule type="cellIs" dxfId="29" priority="61" operator="lessThan">
      <formula>0</formula>
    </cfRule>
    <cfRule type="cellIs" dxfId="28" priority="62" operator="greaterThanOrEqual">
      <formula>0</formula>
    </cfRule>
  </conditionalFormatting>
  <conditionalFormatting sqref="D106">
    <cfRule type="cellIs" dxfId="27" priority="59" operator="lessThan">
      <formula>0</formula>
    </cfRule>
    <cfRule type="cellIs" dxfId="26" priority="60" operator="greaterThanOrEqual">
      <formula>0</formula>
    </cfRule>
  </conditionalFormatting>
  <conditionalFormatting sqref="D142">
    <cfRule type="cellIs" dxfId="25" priority="57" operator="lessThan">
      <formula>0</formula>
    </cfRule>
    <cfRule type="cellIs" dxfId="24" priority="58" operator="greaterThanOrEqual">
      <formula>0</formula>
    </cfRule>
  </conditionalFormatting>
  <conditionalFormatting sqref="D178">
    <cfRule type="cellIs" dxfId="23" priority="55" operator="lessThan">
      <formula>0</formula>
    </cfRule>
    <cfRule type="cellIs" dxfId="22" priority="56" operator="greaterThanOrEqual">
      <formula>0</formula>
    </cfRule>
  </conditionalFormatting>
  <conditionalFormatting sqref="D214">
    <cfRule type="cellIs" dxfId="21" priority="53" operator="lessThan">
      <formula>0</formula>
    </cfRule>
    <cfRule type="cellIs" dxfId="20" priority="54" operator="greaterThanOrEqual">
      <formula>0</formula>
    </cfRule>
  </conditionalFormatting>
  <conditionalFormatting sqref="D250">
    <cfRule type="cellIs" dxfId="19" priority="51" operator="lessThan">
      <formula>0</formula>
    </cfRule>
    <cfRule type="cellIs" dxfId="18" priority="52" operator="greaterThanOrEqual">
      <formula>0</formula>
    </cfRule>
  </conditionalFormatting>
  <conditionalFormatting sqref="D286">
    <cfRule type="cellIs" dxfId="17" priority="49" operator="lessThan">
      <formula>0</formula>
    </cfRule>
    <cfRule type="cellIs" dxfId="16" priority="50" operator="greaterThanOrEqual">
      <formula>0</formula>
    </cfRule>
  </conditionalFormatting>
  <conditionalFormatting sqref="D322">
    <cfRule type="cellIs" dxfId="15" priority="47" operator="lessThan">
      <formula>0</formula>
    </cfRule>
    <cfRule type="cellIs" dxfId="14" priority="48" operator="greaterThanOrEqual">
      <formula>0</formula>
    </cfRule>
  </conditionalFormatting>
  <conditionalFormatting sqref="D355">
    <cfRule type="cellIs" dxfId="13" priority="11" operator="lessThan">
      <formula>0</formula>
    </cfRule>
    <cfRule type="cellIs" dxfId="12" priority="12" operator="greaterThanOrEqual">
      <formula>0</formula>
    </cfRule>
  </conditionalFormatting>
  <conditionalFormatting sqref="D386">
    <cfRule type="cellIs" dxfId="11" priority="9" operator="lessThan">
      <formula>0</formula>
    </cfRule>
    <cfRule type="cellIs" dxfId="10" priority="10" operator="greaterThanOrEqual">
      <formula>0</formula>
    </cfRule>
  </conditionalFormatting>
  <conditionalFormatting sqref="D417">
    <cfRule type="cellIs" dxfId="9" priority="7" operator="lessThan">
      <formula>0</formula>
    </cfRule>
    <cfRule type="cellIs" dxfId="8" priority="8" operator="greaterThanOrEqual">
      <formula>0</formula>
    </cfRule>
  </conditionalFormatting>
  <conditionalFormatting sqref="D448">
    <cfRule type="cellIs" dxfId="7" priority="5" operator="lessThan">
      <formula>0</formula>
    </cfRule>
    <cfRule type="cellIs" dxfId="6" priority="6" operator="greaterThanOrEqual">
      <formula>0</formula>
    </cfRule>
  </conditionalFormatting>
  <conditionalFormatting sqref="D479">
    <cfRule type="cellIs" dxfId="5" priority="3" operator="lessThan">
      <formula>0</formula>
    </cfRule>
    <cfRule type="cellIs" dxfId="4" priority="4" operator="greaterThanOrEqual">
      <formula>0</formula>
    </cfRule>
  </conditionalFormatting>
  <conditionalFormatting sqref="D490">
    <cfRule type="cellIs" dxfId="3" priority="1" operator="lessThan">
      <formula>0</formula>
    </cfRule>
    <cfRule type="cellIs" dxfId="2" priority="2" operator="greaterThanOrEqual">
      <formula>0</formula>
    </cfRule>
  </conditionalFormatting>
  <hyperlinks>
    <hyperlink ref="J2" location="'Αρχική σελίδα'!A1" display="Πίσω στην αρχική σελίδα" xr:uid="{D8DBE387-E36D-497D-9529-32E3BB18F18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workbookViewId="0">
      <selection activeCell="B10" sqref="B10"/>
    </sheetView>
  </sheetViews>
  <sheetFormatPr defaultRowHeight="15" x14ac:dyDescent="0.25"/>
  <cols>
    <col min="1" max="1" width="2.85546875" customWidth="1"/>
    <col min="2" max="2" width="28.42578125" customWidth="1"/>
  </cols>
  <sheetData>
    <row r="3" spans="2:17" ht="28.5" x14ac:dyDescent="0.45">
      <c r="B3" s="109" t="s">
        <v>102</v>
      </c>
      <c r="C3" s="110"/>
      <c r="D3" s="110"/>
      <c r="E3" s="110"/>
      <c r="F3" s="110"/>
      <c r="G3" s="110"/>
      <c r="H3" s="110"/>
      <c r="I3" s="110"/>
      <c r="J3" s="110"/>
      <c r="K3" s="110"/>
      <c r="L3" s="110"/>
      <c r="M3" s="110"/>
      <c r="N3" s="110"/>
      <c r="O3" s="110"/>
      <c r="P3" s="110"/>
      <c r="Q3" s="110"/>
    </row>
    <row r="6" spans="2:17" ht="21" x14ac:dyDescent="0.35">
      <c r="B6" s="107" t="s">
        <v>92</v>
      </c>
      <c r="C6" s="110"/>
      <c r="D6" s="110"/>
      <c r="E6" s="110"/>
      <c r="F6" s="110"/>
      <c r="G6" s="110"/>
      <c r="H6" s="110"/>
      <c r="I6" s="110"/>
      <c r="J6" s="110"/>
    </row>
    <row r="7" spans="2:17" ht="21" x14ac:dyDescent="0.35">
      <c r="B7" s="108"/>
    </row>
    <row r="8" spans="2:17" x14ac:dyDescent="0.25">
      <c r="B8" s="247" t="s">
        <v>156</v>
      </c>
    </row>
    <row r="9" spans="2:17" x14ac:dyDescent="0.25">
      <c r="B9" s="247" t="s">
        <v>211</v>
      </c>
    </row>
    <row r="10" spans="2:17" x14ac:dyDescent="0.25">
      <c r="B10" s="247" t="s">
        <v>157</v>
      </c>
    </row>
    <row r="11" spans="2:17" x14ac:dyDescent="0.25">
      <c r="B11" s="244" t="s">
        <v>99</v>
      </c>
    </row>
  </sheetData>
  <hyperlinks>
    <hyperlink ref="B9" location="'Πρόγραμμα ανάπτυξης δικτύου'!A1" display="Πρόγραμμα ανάπτυξης δικτύου" xr:uid="{1084293B-0C08-40B8-8A56-DCA4FFD652F6}"/>
    <hyperlink ref="B11" location="'Επίπτωση στη μέση χρέωση'!A1" display="Επίπτωση στη μέση χρέωση" xr:uid="{EE5B4CDB-DE53-46D5-AF24-98CFAD7632B2}"/>
    <hyperlink ref="B10" location="'Συνολικοί δείκτες απόδοσης'!A1" display="Συνολικοί δείκτες απόδοσης" xr:uid="{7944EDAD-A3E0-49F2-B6C5-5D53BBC56CC0}"/>
    <hyperlink ref="B8" location="'Στοιχεία συνολικού δικτύου'!A1" display="Στοιχεία συνολικού δικτύου" xr:uid="{8A996F8E-D31B-4F9F-993E-7442BBD59A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workbookViewId="0">
      <selection activeCell="E32" sqref="E32"/>
    </sheetView>
  </sheetViews>
  <sheetFormatPr defaultRowHeight="15" x14ac:dyDescent="0.25"/>
  <cols>
    <col min="1" max="1" width="2.85546875" customWidth="1"/>
    <col min="2" max="2" width="30.5703125" customWidth="1"/>
  </cols>
  <sheetData>
    <row r="3" spans="2:17" ht="28.5" x14ac:dyDescent="0.45">
      <c r="B3" s="109" t="s">
        <v>103</v>
      </c>
      <c r="C3" s="110"/>
      <c r="D3" s="110"/>
      <c r="E3" s="110"/>
      <c r="F3" s="110"/>
      <c r="G3" s="110"/>
      <c r="H3" s="110"/>
      <c r="I3" s="110"/>
      <c r="J3" s="110"/>
      <c r="K3" s="110"/>
      <c r="L3" s="110"/>
      <c r="M3" s="110"/>
      <c r="N3" s="110"/>
      <c r="O3" s="110"/>
      <c r="P3" s="110"/>
      <c r="Q3" s="110"/>
    </row>
    <row r="6" spans="2:17" ht="21" x14ac:dyDescent="0.35">
      <c r="B6" s="107" t="s">
        <v>92</v>
      </c>
      <c r="C6" s="110"/>
      <c r="D6" s="110"/>
      <c r="E6" s="110"/>
      <c r="F6" s="110"/>
      <c r="G6" s="110"/>
      <c r="H6" s="110"/>
      <c r="I6" s="110"/>
      <c r="J6" s="110"/>
    </row>
    <row r="7" spans="2:17" ht="21" x14ac:dyDescent="0.35">
      <c r="B7" s="108"/>
    </row>
    <row r="8" spans="2:17" x14ac:dyDescent="0.25">
      <c r="B8" s="244" t="s">
        <v>164</v>
      </c>
    </row>
    <row r="9" spans="2:17" x14ac:dyDescent="0.25">
      <c r="B9" s="245" t="s">
        <v>140</v>
      </c>
    </row>
    <row r="10" spans="2:17" x14ac:dyDescent="0.25">
      <c r="B10" s="245" t="s">
        <v>130</v>
      </c>
    </row>
    <row r="11" spans="2:17" x14ac:dyDescent="0.25">
      <c r="B11" s="245" t="s">
        <v>131</v>
      </c>
    </row>
    <row r="12" spans="2:17" x14ac:dyDescent="0.25">
      <c r="B12" s="245" t="s">
        <v>176</v>
      </c>
    </row>
    <row r="13" spans="2:17" x14ac:dyDescent="0.25">
      <c r="B13" s="245" t="s">
        <v>132</v>
      </c>
    </row>
    <row r="14" spans="2:17" x14ac:dyDescent="0.25">
      <c r="B14" s="245" t="s">
        <v>141</v>
      </c>
    </row>
    <row r="15" spans="2:17" x14ac:dyDescent="0.25">
      <c r="B15" s="245" t="s">
        <v>147</v>
      </c>
    </row>
    <row r="16" spans="2:17" x14ac:dyDescent="0.25">
      <c r="B16" s="246" t="s">
        <v>149</v>
      </c>
    </row>
    <row r="17" spans="2:2" x14ac:dyDescent="0.25">
      <c r="B17" s="245" t="s">
        <v>151</v>
      </c>
    </row>
    <row r="18" spans="2:2" x14ac:dyDescent="0.25">
      <c r="B18" s="245" t="s">
        <v>153</v>
      </c>
    </row>
    <row r="19" spans="2:2" x14ac:dyDescent="0.25">
      <c r="B19" s="245" t="s">
        <v>154</v>
      </c>
    </row>
    <row r="20" spans="2:2" x14ac:dyDescent="0.25">
      <c r="B20" s="245" t="s">
        <v>98</v>
      </c>
    </row>
  </sheetData>
  <hyperlinks>
    <hyperlink ref="B10" location="'Ανάπτυξη δικτύου'!A1" display="Ανάπτυξη δικτύου" xr:uid="{C52AA211-1C1C-4FEB-868F-DDD47581EA90}"/>
    <hyperlink ref="B11" location="'Ενεργές συνδέσεις'!A1" display="Ενεργές συνδέσεις" xr:uid="{F4894F64-036C-4B8E-9699-BF63661A824C}"/>
    <hyperlink ref="B13" location="'Ενεργοί πελάτες'!A1" display="Ενεργοί πελάτες" xr:uid="{D73B4CC8-DCFE-4BDE-B8F4-DB7A71FA301F}"/>
    <hyperlink ref="B9" location="'Ανάλυση για νέους δήμους'!A1" display="Ανάλυση για νέους δήμους" xr:uid="{87F4B694-7F66-4C13-97C6-C6A0FE97AC29}"/>
    <hyperlink ref="B14" location="'Μέση ετήσια κατανάλωση'!A1" display="Μέση ετήσια κατανάλωση" xr:uid="{F30542AF-D7AD-4BBC-B37B-274FE85EA8EC}"/>
    <hyperlink ref="B15" location="'Διανεμόμενες ποσότητες αερίου'!A1" display="Διανεμόμενες ποσότητες αερίου" xr:uid="{06938263-0833-45DF-AC11-4E4C8EF6FFC3}"/>
    <hyperlink ref="B16" location="'Παραδοχές μοναδιαίου κόστους'!A1" display="Παραδοχές μοναδιαίου κόστους" xr:uid="{8524F84B-0DC1-4CC8-8B07-640E4A326D52}"/>
    <hyperlink ref="B17" location="Επενδύσεις!A1" display="Επενδύσεις ανάπτυξης / σύνδεσης" xr:uid="{75FB2041-8936-44CA-A46A-258E527D6400}"/>
    <hyperlink ref="B18" location="'Παραδοχές διείσδυσης - κάλυψης'!A1" display="Παραδοχές διείσδυσης - κάλυψης" xr:uid="{15FE033E-34E4-444F-98E8-653F32281812}"/>
    <hyperlink ref="B19" location="'Δείκτες διείσδυσης - κάλυψης'!A1" display="Δείκτες διείσδυσης - κάλυψης" xr:uid="{DE214FA0-37EA-4B7F-9BE1-ACA631203727}"/>
    <hyperlink ref="B20" location="'Δείκτες απόδοσης'!A1" display="Δείκτες απόδοσης" xr:uid="{B9E64714-4832-4A41-9533-0EDCBAFF5D3F}"/>
    <hyperlink ref="B8" location="'Γενική περιγραφή'!A1" display="Γενική περιγραφή" xr:uid="{1F449B32-64EA-42F2-8974-A5D1EE4E5C06}"/>
    <hyperlink ref="B12" location="'Ενεργοί μετρητές'!A1" display="Ενεργοί μετρητές" xr:uid="{812B950F-F320-47FB-93BD-8509F03FB0B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L111"/>
  <sheetViews>
    <sheetView showGridLines="0" topLeftCell="B45" workbookViewId="0">
      <selection activeCell="J14" sqref="J14"/>
    </sheetView>
  </sheetViews>
  <sheetFormatPr defaultRowHeight="15" outlineLevelRow="1" x14ac:dyDescent="0.25"/>
  <cols>
    <col min="1" max="1" width="2.85546875" customWidth="1"/>
    <col min="2" max="2" width="28.28515625" customWidth="1"/>
    <col min="3" max="3" width="27.28515625" customWidth="1"/>
    <col min="4" max="8" width="12.7109375" customWidth="1"/>
    <col min="9" max="9" width="15.140625" customWidth="1"/>
    <col min="10" max="10" width="16" bestFit="1" customWidth="1"/>
  </cols>
  <sheetData>
    <row r="2" spans="2:12" ht="18.75" x14ac:dyDescent="0.3">
      <c r="B2" s="1" t="s">
        <v>1</v>
      </c>
      <c r="C2" s="353" t="str">
        <f>'Αρχική σελίδα'!C3</f>
        <v>HENGAS</v>
      </c>
      <c r="D2" s="353"/>
      <c r="E2" s="353"/>
      <c r="F2" s="353"/>
      <c r="G2" s="353"/>
      <c r="H2" s="353"/>
      <c r="J2" s="354" t="s">
        <v>213</v>
      </c>
      <c r="K2" s="354"/>
      <c r="L2" s="354"/>
    </row>
    <row r="3" spans="2:12" ht="18.75" x14ac:dyDescent="0.3">
      <c r="B3" s="2" t="s">
        <v>2</v>
      </c>
      <c r="C3" s="48">
        <f>'Αρχική σελίδα'!C4</f>
        <v>2023</v>
      </c>
      <c r="D3" s="48" t="s">
        <v>0</v>
      </c>
      <c r="E3" s="48">
        <f>C3+4</f>
        <v>2027</v>
      </c>
    </row>
    <row r="5" spans="2:12" ht="33" customHeight="1" x14ac:dyDescent="0.25">
      <c r="B5" s="355" t="s">
        <v>254</v>
      </c>
      <c r="C5" s="355"/>
      <c r="D5" s="355"/>
      <c r="E5" s="355"/>
      <c r="F5" s="355"/>
      <c r="G5" s="355"/>
      <c r="H5" s="355"/>
      <c r="I5" s="355"/>
    </row>
    <row r="6" spans="2:12" x14ac:dyDescent="0.25">
      <c r="B6" s="271"/>
      <c r="C6" s="271"/>
      <c r="D6" s="271"/>
      <c r="E6" s="271"/>
      <c r="F6" s="271"/>
      <c r="G6" s="271"/>
      <c r="H6" s="271"/>
    </row>
    <row r="7" spans="2:12" ht="18.75" x14ac:dyDescent="0.3">
      <c r="B7" s="112" t="s">
        <v>215</v>
      </c>
      <c r="C7" s="273"/>
      <c r="D7" s="273"/>
      <c r="E7" s="273"/>
      <c r="F7" s="273"/>
      <c r="G7" s="273"/>
      <c r="H7" s="273"/>
      <c r="I7" s="273"/>
      <c r="J7" s="273"/>
    </row>
    <row r="8" spans="2:12" ht="18.75" x14ac:dyDescent="0.3">
      <c r="C8" s="2"/>
      <c r="D8" s="48"/>
      <c r="E8" s="48"/>
    </row>
    <row r="9" spans="2:12" ht="15.75" x14ac:dyDescent="0.25">
      <c r="B9" s="352" t="s">
        <v>10</v>
      </c>
      <c r="C9" s="352"/>
      <c r="D9" s="352"/>
      <c r="E9" s="352"/>
      <c r="F9" s="352"/>
      <c r="G9" s="352"/>
      <c r="H9" s="352"/>
      <c r="I9" s="352"/>
      <c r="J9" s="352"/>
    </row>
    <row r="10" spans="2:12" ht="4.9000000000000004" customHeight="1" outlineLevel="1" x14ac:dyDescent="0.25"/>
    <row r="11" spans="2:12" outlineLevel="1" x14ac:dyDescent="0.25">
      <c r="B11" s="453"/>
      <c r="C11" s="454"/>
      <c r="D11" s="9" t="s">
        <v>20</v>
      </c>
      <c r="E11" s="9">
        <f>$C$3-5</f>
        <v>2018</v>
      </c>
      <c r="F11" s="9">
        <f>$C$3-4</f>
        <v>2019</v>
      </c>
      <c r="G11" s="9">
        <f>$C$3-3</f>
        <v>2020</v>
      </c>
      <c r="H11" s="9">
        <f>$C$3-2</f>
        <v>2021</v>
      </c>
      <c r="I11" s="9" t="str">
        <f>$C$3-1&amp;""&amp;" ("&amp;"Σεπτ"&amp;")"</f>
        <v>2022 (Σεπτ)</v>
      </c>
      <c r="J11" s="9">
        <f>$C$3-1</f>
        <v>2022</v>
      </c>
      <c r="K11" s="146"/>
    </row>
    <row r="12" spans="2:12" outlineLevel="1" x14ac:dyDescent="0.25">
      <c r="B12" s="450" t="s">
        <v>3</v>
      </c>
      <c r="C12" s="5" t="s">
        <v>4</v>
      </c>
      <c r="D12" s="14" t="s">
        <v>21</v>
      </c>
      <c r="E12" s="167">
        <f>'Ανάπτυξη δικτύου'!D30</f>
        <v>0</v>
      </c>
      <c r="F12" s="167">
        <f>'Ανάπτυξη δικτύου'!F30</f>
        <v>0</v>
      </c>
      <c r="G12" s="167">
        <f>'Ανάπτυξη δικτύου'!I30</f>
        <v>0</v>
      </c>
      <c r="H12" s="167">
        <f>'Ανάπτυξη δικτύου'!L30</f>
        <v>0</v>
      </c>
      <c r="I12" s="167">
        <f>'Ανάπτυξη δικτύου'!O30</f>
        <v>0</v>
      </c>
      <c r="J12" s="167">
        <v>2500</v>
      </c>
    </row>
    <row r="13" spans="2:12" outlineLevel="1" x14ac:dyDescent="0.25">
      <c r="B13" s="450"/>
      <c r="C13" s="7" t="s">
        <v>5</v>
      </c>
      <c r="D13" s="15" t="s">
        <v>21</v>
      </c>
      <c r="E13" s="168">
        <f>'Ανάπτυξη δικτύου'!E30</f>
        <v>0</v>
      </c>
      <c r="F13" s="168">
        <f>E13+F12</f>
        <v>0</v>
      </c>
      <c r="G13" s="168">
        <f>F13+G12</f>
        <v>0</v>
      </c>
      <c r="H13" s="168">
        <f>G13+H12</f>
        <v>0</v>
      </c>
      <c r="I13" s="32"/>
      <c r="J13" s="168">
        <f>H13+J12</f>
        <v>2500</v>
      </c>
    </row>
    <row r="14" spans="2:12" outlineLevel="1" x14ac:dyDescent="0.25">
      <c r="B14" s="450" t="s">
        <v>23</v>
      </c>
      <c r="C14" s="5" t="s">
        <v>4</v>
      </c>
      <c r="D14" s="14" t="s">
        <v>21</v>
      </c>
      <c r="E14" s="167">
        <f>'Ανάπτυξη δικτύου'!D54</f>
        <v>0</v>
      </c>
      <c r="F14" s="167">
        <f>'Ανάπτυξη δικτύου'!F54</f>
        <v>0</v>
      </c>
      <c r="G14" s="167">
        <f>'Ανάπτυξη δικτύου'!I54</f>
        <v>0</v>
      </c>
      <c r="H14" s="167">
        <f>'Ανάπτυξη δικτύου'!L54</f>
        <v>19728.400000000001</v>
      </c>
      <c r="I14" s="167">
        <f>'Ανάπτυξη δικτύου'!O54</f>
        <v>13250.5</v>
      </c>
      <c r="J14" s="167">
        <f>'Ανάπτυξη δικτύου'!R54</f>
        <v>31679.02</v>
      </c>
    </row>
    <row r="15" spans="2:12" outlineLevel="1" x14ac:dyDescent="0.25">
      <c r="B15" s="450"/>
      <c r="C15" s="7" t="s">
        <v>5</v>
      </c>
      <c r="D15" s="15" t="s">
        <v>21</v>
      </c>
      <c r="E15" s="168">
        <f>'Ανάπτυξη δικτύου'!E54</f>
        <v>0</v>
      </c>
      <c r="F15" s="168">
        <f>E15+F14</f>
        <v>0</v>
      </c>
      <c r="G15" s="168">
        <f>F15+G14</f>
        <v>0</v>
      </c>
      <c r="H15" s="168">
        <f>G15+H14</f>
        <v>19728.400000000001</v>
      </c>
      <c r="I15" s="32"/>
      <c r="J15" s="168">
        <f>H15+J14</f>
        <v>51407.42</v>
      </c>
    </row>
    <row r="16" spans="2:12" outlineLevel="1" x14ac:dyDescent="0.25">
      <c r="B16" s="450" t="s">
        <v>165</v>
      </c>
      <c r="C16" s="5" t="s">
        <v>6</v>
      </c>
      <c r="D16" s="14" t="s">
        <v>22</v>
      </c>
      <c r="E16" s="167">
        <f>'Ανάπτυξη δικτύου'!D77</f>
        <v>0</v>
      </c>
      <c r="F16" s="167">
        <f>'Ανάπτυξη δικτύου'!F77</f>
        <v>0</v>
      </c>
      <c r="G16" s="167">
        <f>'Ανάπτυξη δικτύου'!I77</f>
        <v>0</v>
      </c>
      <c r="H16" s="167">
        <f>'Ανάπτυξη δικτύου'!L77</f>
        <v>572</v>
      </c>
      <c r="I16" s="167">
        <f>'Ανάπτυξη δικτύου'!O77</f>
        <v>0</v>
      </c>
      <c r="J16" s="167">
        <f>'Ανάπτυξη δικτύου'!R77</f>
        <v>674</v>
      </c>
    </row>
    <row r="17" spans="2:11" outlineLevel="1" x14ac:dyDescent="0.25">
      <c r="B17" s="450"/>
      <c r="C17" s="7" t="s">
        <v>7</v>
      </c>
      <c r="D17" s="15" t="s">
        <v>22</v>
      </c>
      <c r="E17" s="168">
        <f>'Ανάπτυξη δικτύου'!E77</f>
        <v>0</v>
      </c>
      <c r="F17" s="168">
        <f>E17+F16</f>
        <v>0</v>
      </c>
      <c r="G17" s="168">
        <f>F17+G16</f>
        <v>0</v>
      </c>
      <c r="H17" s="168">
        <f>G17+H16</f>
        <v>572</v>
      </c>
      <c r="I17" s="32"/>
      <c r="J17" s="168">
        <f>H17+J16</f>
        <v>1246</v>
      </c>
    </row>
    <row r="18" spans="2:11" outlineLevel="1" x14ac:dyDescent="0.25">
      <c r="B18" s="450" t="s">
        <v>37</v>
      </c>
      <c r="C18" s="5" t="s">
        <v>6</v>
      </c>
      <c r="D18" s="14" t="s">
        <v>22</v>
      </c>
      <c r="E18" s="167">
        <f>'Ανάπτυξη δικτύου'!D100</f>
        <v>0</v>
      </c>
      <c r="F18" s="167">
        <f>'Ανάπτυξη δικτύου'!F100</f>
        <v>0</v>
      </c>
      <c r="G18" s="167">
        <f>'Ανάπτυξη δικτύου'!I100</f>
        <v>0</v>
      </c>
      <c r="H18" s="167">
        <f>'Ανάπτυξη δικτύου'!L100</f>
        <v>31</v>
      </c>
      <c r="I18" s="167">
        <f>'Ανάπτυξη δικτύου'!O100</f>
        <v>5</v>
      </c>
      <c r="J18" s="167">
        <f>'Ανάπτυξη δικτύου'!R100</f>
        <v>300</v>
      </c>
    </row>
    <row r="19" spans="2:11" outlineLevel="1" x14ac:dyDescent="0.25">
      <c r="B19" s="450"/>
      <c r="C19" s="7" t="s">
        <v>7</v>
      </c>
      <c r="D19" s="15" t="s">
        <v>22</v>
      </c>
      <c r="E19" s="168">
        <f>'Ανάπτυξη δικτύου'!E100</f>
        <v>0</v>
      </c>
      <c r="F19" s="168">
        <f>E19+F18</f>
        <v>0</v>
      </c>
      <c r="G19" s="168">
        <f>F19+G18</f>
        <v>0</v>
      </c>
      <c r="H19" s="168">
        <f>G19+H18</f>
        <v>31</v>
      </c>
      <c r="I19" s="32"/>
      <c r="J19" s="168">
        <f>H19+J18</f>
        <v>331</v>
      </c>
    </row>
    <row r="20" spans="2:11" outlineLevel="1" x14ac:dyDescent="0.25">
      <c r="B20" s="458" t="s">
        <v>228</v>
      </c>
      <c r="C20" s="5" t="s">
        <v>6</v>
      </c>
      <c r="D20" s="14" t="s">
        <v>22</v>
      </c>
      <c r="E20" s="167">
        <f>'Ανάπτυξη δικτύου'!D123</f>
        <v>0</v>
      </c>
      <c r="F20" s="167">
        <f>'Ανάπτυξη δικτύου'!F123</f>
        <v>0</v>
      </c>
      <c r="G20" s="167">
        <f>'Ανάπτυξη δικτύου'!I123</f>
        <v>0</v>
      </c>
      <c r="H20" s="167">
        <f>'Ανάπτυξη δικτύου'!L123</f>
        <v>0</v>
      </c>
      <c r="I20" s="167">
        <f>'Ανάπτυξη δικτύου'!O123</f>
        <v>0</v>
      </c>
      <c r="J20" s="167">
        <f>'Ανάπτυξη δικτύου'!R123</f>
        <v>1</v>
      </c>
    </row>
    <row r="21" spans="2:11" outlineLevel="1" x14ac:dyDescent="0.25">
      <c r="B21" s="458"/>
      <c r="C21" s="7" t="s">
        <v>7</v>
      </c>
      <c r="D21" s="15" t="s">
        <v>22</v>
      </c>
      <c r="E21" s="168">
        <f>'Ανάπτυξη δικτύου'!E123</f>
        <v>0</v>
      </c>
      <c r="F21" s="168">
        <f>E21+F20</f>
        <v>0</v>
      </c>
      <c r="G21" s="168">
        <f t="shared" ref="G21" si="0">F21+G20</f>
        <v>0</v>
      </c>
      <c r="H21" s="168">
        <f t="shared" ref="H21" si="1">G21+H20</f>
        <v>0</v>
      </c>
      <c r="I21" s="32"/>
      <c r="J21" s="168">
        <f>H21+J20</f>
        <v>1</v>
      </c>
    </row>
    <row r="22" spans="2:11" outlineLevel="1" x14ac:dyDescent="0.25">
      <c r="B22" s="450" t="s">
        <v>24</v>
      </c>
      <c r="C22" s="5" t="s">
        <v>6</v>
      </c>
      <c r="D22" s="14" t="s">
        <v>22</v>
      </c>
      <c r="E22" s="167">
        <f>'Ανάπτυξη δικτύου'!D146</f>
        <v>0</v>
      </c>
      <c r="F22" s="167">
        <f>'Ανάπτυξη δικτύου'!F146</f>
        <v>0</v>
      </c>
      <c r="G22" s="167">
        <f>'Ανάπτυξη δικτύου'!I146</f>
        <v>0</v>
      </c>
      <c r="H22" s="167">
        <f>'Ανάπτυξη δικτύου'!L146</f>
        <v>1</v>
      </c>
      <c r="I22" s="167">
        <f>'Ανάπτυξη δικτύου'!O146</f>
        <v>0</v>
      </c>
      <c r="J22" s="167">
        <f>'Ανάπτυξη δικτύου'!R146</f>
        <v>2</v>
      </c>
    </row>
    <row r="23" spans="2:11" outlineLevel="1" x14ac:dyDescent="0.25">
      <c r="B23" s="450"/>
      <c r="C23" s="7" t="s">
        <v>7</v>
      </c>
      <c r="D23" s="15" t="s">
        <v>22</v>
      </c>
      <c r="E23" s="168">
        <f>'Ανάπτυξη δικτύου'!E146</f>
        <v>0</v>
      </c>
      <c r="F23" s="168">
        <f>E23+F22</f>
        <v>0</v>
      </c>
      <c r="G23" s="168">
        <f t="shared" ref="G23" si="2">F23+G22</f>
        <v>0</v>
      </c>
      <c r="H23" s="168">
        <f t="shared" ref="H23" si="3">G23+H22</f>
        <v>1</v>
      </c>
      <c r="I23" s="32"/>
      <c r="J23" s="168">
        <f>I23+J22</f>
        <v>2</v>
      </c>
    </row>
    <row r="24" spans="2:11" outlineLevel="1" x14ac:dyDescent="0.25">
      <c r="B24" s="450" t="s">
        <v>97</v>
      </c>
      <c r="C24" s="5" t="s">
        <v>6</v>
      </c>
      <c r="D24" s="14" t="s">
        <v>22</v>
      </c>
      <c r="E24" s="167">
        <f>'Ανάπτυξη δικτύου'!D169</f>
        <v>0</v>
      </c>
      <c r="F24" s="167">
        <f>'Ανάπτυξη δικτύου'!F169</f>
        <v>0</v>
      </c>
      <c r="G24" s="167">
        <f>'Ανάπτυξη δικτύου'!I169</f>
        <v>0</v>
      </c>
      <c r="H24" s="167">
        <f>'Ανάπτυξη δικτύου'!L169</f>
        <v>0</v>
      </c>
      <c r="I24" s="167">
        <f>'Ανάπτυξη δικτύου'!O169</f>
        <v>0</v>
      </c>
      <c r="J24" s="167">
        <f>'Ανάπτυξη δικτύου'!R169</f>
        <v>0</v>
      </c>
    </row>
    <row r="25" spans="2:11" outlineLevel="1" x14ac:dyDescent="0.25">
      <c r="B25" s="450"/>
      <c r="C25" s="7" t="s">
        <v>7</v>
      </c>
      <c r="D25" s="15" t="s">
        <v>22</v>
      </c>
      <c r="E25" s="168">
        <f>'Ανάπτυξη δικτύου'!E169</f>
        <v>0</v>
      </c>
      <c r="F25" s="168">
        <f>E25+F24</f>
        <v>0</v>
      </c>
      <c r="G25" s="168">
        <f t="shared" ref="G25" si="4">F25+G24</f>
        <v>0</v>
      </c>
      <c r="H25" s="168">
        <f t="shared" ref="H25" si="5">G25+H24</f>
        <v>0</v>
      </c>
      <c r="I25" s="32"/>
      <c r="J25" s="168">
        <f>I25+J24</f>
        <v>0</v>
      </c>
    </row>
    <row r="26" spans="2:11" outlineLevel="1" x14ac:dyDescent="0.25">
      <c r="B26" s="450" t="s">
        <v>25</v>
      </c>
      <c r="C26" s="5" t="s">
        <v>8</v>
      </c>
      <c r="D26" s="14" t="s">
        <v>22</v>
      </c>
      <c r="E26" s="167">
        <f>'Ανάπτυξη δικτύου'!D192</f>
        <v>0</v>
      </c>
      <c r="F26" s="167">
        <f>'Ανάπτυξη δικτύου'!F192</f>
        <v>0</v>
      </c>
      <c r="G26" s="167">
        <f>'Ανάπτυξη δικτύου'!I192</f>
        <v>0</v>
      </c>
      <c r="H26" s="167">
        <f>'Ανάπτυξη δικτύου'!L192</f>
        <v>0</v>
      </c>
      <c r="I26" s="167">
        <f>'Ανάπτυξη δικτύου'!O192</f>
        <v>0</v>
      </c>
      <c r="J26" s="167">
        <f>'Ανάπτυξη δικτύου'!R192</f>
        <v>0</v>
      </c>
    </row>
    <row r="27" spans="2:11" outlineLevel="1" x14ac:dyDescent="0.25">
      <c r="B27" s="450"/>
      <c r="C27" s="7" t="s">
        <v>9</v>
      </c>
      <c r="D27" s="15" t="s">
        <v>22</v>
      </c>
      <c r="E27" s="168">
        <f>'Ανάπτυξη δικτύου'!E192</f>
        <v>0</v>
      </c>
      <c r="F27" s="168">
        <f>E27+F26</f>
        <v>0</v>
      </c>
      <c r="G27" s="168">
        <f>F27+G26</f>
        <v>0</v>
      </c>
      <c r="H27" s="168">
        <f>G27+H26</f>
        <v>0</v>
      </c>
      <c r="I27" s="32"/>
      <c r="J27" s="168">
        <f>I27+J26</f>
        <v>0</v>
      </c>
    </row>
    <row r="29" spans="2:11" ht="15.75" x14ac:dyDescent="0.25">
      <c r="B29" s="352" t="s">
        <v>14</v>
      </c>
      <c r="C29" s="352"/>
      <c r="D29" s="352"/>
      <c r="E29" s="352"/>
      <c r="F29" s="352"/>
      <c r="G29" s="352"/>
      <c r="H29" s="352"/>
      <c r="I29" s="352"/>
      <c r="J29" s="352"/>
    </row>
    <row r="30" spans="2:11" ht="4.9000000000000004" customHeight="1" outlineLevel="1" x14ac:dyDescent="0.25"/>
    <row r="31" spans="2:11" outlineLevel="1" x14ac:dyDescent="0.25">
      <c r="B31" s="453"/>
      <c r="C31" s="454"/>
      <c r="D31" s="9" t="s">
        <v>20</v>
      </c>
      <c r="E31" s="9">
        <f>$C$3-5</f>
        <v>2018</v>
      </c>
      <c r="F31" s="9">
        <f>$C$3-4</f>
        <v>2019</v>
      </c>
      <c r="G31" s="9">
        <f>$C$3-3</f>
        <v>2020</v>
      </c>
      <c r="H31" s="9">
        <f>$C$3-2</f>
        <v>2021</v>
      </c>
      <c r="I31" s="9" t="str">
        <f>$C$3-1&amp;""&amp;" ("&amp;"Σεπτ"&amp;")"</f>
        <v>2022 (Σεπτ)</v>
      </c>
      <c r="J31" s="9">
        <f>$C$3-1</f>
        <v>2022</v>
      </c>
    </row>
    <row r="32" spans="2:11" outlineLevel="1" x14ac:dyDescent="0.25">
      <c r="B32" s="451" t="s">
        <v>172</v>
      </c>
      <c r="C32" s="5" t="s">
        <v>8</v>
      </c>
      <c r="D32" s="14" t="s">
        <v>22</v>
      </c>
      <c r="E32" s="167">
        <f>E34+E36+E38+E40+E42+E44</f>
        <v>0</v>
      </c>
      <c r="F32" s="167">
        <f t="shared" ref="F32:I32" si="6">F34+F36+F38+F40+F42+F44</f>
        <v>0</v>
      </c>
      <c r="G32" s="167">
        <f t="shared" si="6"/>
        <v>0</v>
      </c>
      <c r="H32" s="167">
        <f>H34+H38+H40+H42+H44</f>
        <v>30</v>
      </c>
      <c r="I32" s="167">
        <f t="shared" si="6"/>
        <v>130</v>
      </c>
      <c r="J32" s="167">
        <f t="shared" ref="J32" si="7">J34+J36+J38+J40+J42+J44</f>
        <v>2427</v>
      </c>
      <c r="K32" s="146"/>
    </row>
    <row r="33" spans="2:10" outlineLevel="1" x14ac:dyDescent="0.25">
      <c r="B33" s="452"/>
      <c r="C33" s="7" t="s">
        <v>9</v>
      </c>
      <c r="D33" s="15" t="s">
        <v>22</v>
      </c>
      <c r="E33" s="168">
        <f>E35+E37+E39+E41+E43+E45</f>
        <v>0</v>
      </c>
      <c r="F33" s="168">
        <f t="shared" ref="F33:G33" si="8">F35+F37+F39+F41+F43+F45</f>
        <v>0</v>
      </c>
      <c r="G33" s="168">
        <f t="shared" si="8"/>
        <v>0</v>
      </c>
      <c r="H33" s="168">
        <f>H35+H37+H39+H41+H43+H45</f>
        <v>0</v>
      </c>
      <c r="I33" s="32"/>
      <c r="J33" s="168">
        <f t="shared" ref="J33" si="9">J35+J37+J39+J41+J43+J45</f>
        <v>2427</v>
      </c>
    </row>
    <row r="34" spans="2:10" outlineLevel="1" x14ac:dyDescent="0.25">
      <c r="B34" s="451" t="s">
        <v>203</v>
      </c>
      <c r="C34" s="5" t="s">
        <v>8</v>
      </c>
      <c r="D34" s="14" t="s">
        <v>22</v>
      </c>
      <c r="E34" s="167">
        <f>'Ενεργές συνδέσεις'!D54</f>
        <v>0</v>
      </c>
      <c r="F34" s="167">
        <f>'Ενεργές συνδέσεις'!F54</f>
        <v>0</v>
      </c>
      <c r="G34" s="167">
        <f>'Ενεργές συνδέσεις'!I54</f>
        <v>0</v>
      </c>
      <c r="H34" s="167">
        <v>27</v>
      </c>
      <c r="I34" s="167">
        <f>'Ενεργές συνδέσεις'!O54</f>
        <v>63</v>
      </c>
      <c r="J34" s="167">
        <f>'Ενεργές συνδέσεις'!R54</f>
        <v>1184</v>
      </c>
    </row>
    <row r="35" spans="2:10" outlineLevel="1" x14ac:dyDescent="0.25">
      <c r="B35" s="452"/>
      <c r="C35" s="7" t="s">
        <v>9</v>
      </c>
      <c r="D35" s="15" t="s">
        <v>22</v>
      </c>
      <c r="E35" s="168">
        <f>'Ενεργές συνδέσεις'!E54</f>
        <v>0</v>
      </c>
      <c r="F35" s="168">
        <f>'Ενεργές συνδέσεις'!G54</f>
        <v>0</v>
      </c>
      <c r="G35" s="168">
        <f>'Ενεργές συνδέσεις'!J54</f>
        <v>0</v>
      </c>
      <c r="H35" s="168">
        <f>'Ενεργές συνδέσεις'!M54</f>
        <v>0</v>
      </c>
      <c r="I35" s="32"/>
      <c r="J35" s="168">
        <f>'Ενεργές συνδέσεις'!S54</f>
        <v>1184</v>
      </c>
    </row>
    <row r="36" spans="2:10" outlineLevel="1" x14ac:dyDescent="0.25">
      <c r="B36" s="451" t="s">
        <v>205</v>
      </c>
      <c r="C36" s="5" t="s">
        <v>8</v>
      </c>
      <c r="D36" s="14" t="s">
        <v>22</v>
      </c>
      <c r="E36" s="167">
        <f>'Ενεργές συνδέσεις'!D77</f>
        <v>0</v>
      </c>
      <c r="F36" s="167">
        <f>'Ενεργές συνδέσεις'!F77</f>
        <v>0</v>
      </c>
      <c r="G36" s="167">
        <f>'Ενεργές συνδέσεις'!I77</f>
        <v>0</v>
      </c>
      <c r="H36" s="167">
        <v>27</v>
      </c>
      <c r="I36" s="167">
        <f>'Ενεργές συνδέσεις'!O77</f>
        <v>63</v>
      </c>
      <c r="J36" s="167">
        <f>'Ενεργές συνδέσεις'!R77</f>
        <v>1184</v>
      </c>
    </row>
    <row r="37" spans="2:10" outlineLevel="1" x14ac:dyDescent="0.25">
      <c r="B37" s="452"/>
      <c r="C37" s="7" t="s">
        <v>9</v>
      </c>
      <c r="D37" s="15" t="s">
        <v>22</v>
      </c>
      <c r="E37" s="168">
        <f>'Ενεργές συνδέσεις'!E77</f>
        <v>0</v>
      </c>
      <c r="F37" s="168">
        <f>'Ενεργές συνδέσεις'!G77</f>
        <v>0</v>
      </c>
      <c r="G37" s="168">
        <f>'Ενεργές συνδέσεις'!J77</f>
        <v>0</v>
      </c>
      <c r="H37" s="168">
        <f>'Ενεργές συνδέσεις'!M77</f>
        <v>0</v>
      </c>
      <c r="I37" s="32"/>
      <c r="J37" s="168">
        <f>'Ενεργές συνδέσεις'!S77</f>
        <v>1184</v>
      </c>
    </row>
    <row r="38" spans="2:10" outlineLevel="1" x14ac:dyDescent="0.25">
      <c r="B38" s="451" t="s">
        <v>206</v>
      </c>
      <c r="C38" s="5" t="s">
        <v>8</v>
      </c>
      <c r="D38" s="14" t="s">
        <v>22</v>
      </c>
      <c r="E38" s="167">
        <f>'Ενεργές συνδέσεις'!D100</f>
        <v>0</v>
      </c>
      <c r="F38" s="167">
        <f>'Ενεργές συνδέσεις'!F100</f>
        <v>0</v>
      </c>
      <c r="G38" s="167">
        <f>'Ενεργές συνδέσεις'!I100</f>
        <v>0</v>
      </c>
      <c r="H38" s="167">
        <v>2</v>
      </c>
      <c r="I38" s="167">
        <f>'Ενεργές συνδέσεις'!O100</f>
        <v>4</v>
      </c>
      <c r="J38" s="167">
        <f>'Ενεργές συνδέσεις'!R100</f>
        <v>59</v>
      </c>
    </row>
    <row r="39" spans="2:10" outlineLevel="1" x14ac:dyDescent="0.25">
      <c r="B39" s="452"/>
      <c r="C39" s="7" t="s">
        <v>9</v>
      </c>
      <c r="D39" s="15" t="s">
        <v>22</v>
      </c>
      <c r="E39" s="168">
        <f>'Ενεργές συνδέσεις'!E100</f>
        <v>0</v>
      </c>
      <c r="F39" s="168">
        <f>'Ενεργές συνδέσεις'!G100</f>
        <v>0</v>
      </c>
      <c r="G39" s="168">
        <f>'Ενεργές συνδέσεις'!J100</f>
        <v>0</v>
      </c>
      <c r="H39" s="168">
        <f>'Ενεργές συνδέσεις'!M100</f>
        <v>0</v>
      </c>
      <c r="I39" s="32"/>
      <c r="J39" s="168">
        <f>'Ενεργές συνδέσεις'!S100</f>
        <v>59</v>
      </c>
    </row>
    <row r="40" spans="2:10" outlineLevel="1" x14ac:dyDescent="0.25">
      <c r="B40" s="451" t="s">
        <v>207</v>
      </c>
      <c r="C40" s="5" t="s">
        <v>8</v>
      </c>
      <c r="D40" s="14" t="s">
        <v>22</v>
      </c>
      <c r="E40" s="167">
        <f>'Ενεργές συνδέσεις'!D123</f>
        <v>0</v>
      </c>
      <c r="F40" s="167">
        <f>'Ενεργές συνδέσεις'!F123</f>
        <v>0</v>
      </c>
      <c r="G40" s="167">
        <f>'Ενεργές συνδέσεις'!I123</f>
        <v>0</v>
      </c>
      <c r="H40" s="167">
        <v>1</v>
      </c>
      <c r="I40" s="167">
        <f>'Ενεργές συνδέσεις'!O123</f>
        <v>0</v>
      </c>
      <c r="J40" s="167">
        <f>'Ενεργές συνδέσεις'!R123</f>
        <v>0</v>
      </c>
    </row>
    <row r="41" spans="2:10" outlineLevel="1" x14ac:dyDescent="0.25">
      <c r="B41" s="452"/>
      <c r="C41" s="7" t="s">
        <v>9</v>
      </c>
      <c r="D41" s="15" t="s">
        <v>22</v>
      </c>
      <c r="E41" s="168">
        <f>'Ενεργές συνδέσεις'!E123</f>
        <v>0</v>
      </c>
      <c r="F41" s="168">
        <f>'Ενεργές συνδέσεις'!G123</f>
        <v>0</v>
      </c>
      <c r="G41" s="168">
        <f>'Ενεργές συνδέσεις'!J123</f>
        <v>0</v>
      </c>
      <c r="H41" s="168">
        <f>'Ενεργές συνδέσεις'!M123</f>
        <v>0</v>
      </c>
      <c r="I41" s="32"/>
      <c r="J41" s="168">
        <f>'Ενεργές συνδέσεις'!S123</f>
        <v>0</v>
      </c>
    </row>
    <row r="42" spans="2:10" outlineLevel="1" x14ac:dyDescent="0.25">
      <c r="B42" s="451" t="s">
        <v>13</v>
      </c>
      <c r="C42" s="5" t="s">
        <v>8</v>
      </c>
      <c r="D42" s="14" t="s">
        <v>22</v>
      </c>
      <c r="E42" s="167">
        <f>'Ενεργές συνδέσεις'!D146</f>
        <v>0</v>
      </c>
      <c r="F42" s="167">
        <f>'Ενεργές συνδέσεις'!F146</f>
        <v>0</v>
      </c>
      <c r="G42" s="167">
        <f>'Ενεργές συνδέσεις'!I146</f>
        <v>0</v>
      </c>
      <c r="H42" s="167">
        <f>'Ενεργές συνδέσεις'!L146</f>
        <v>0</v>
      </c>
      <c r="I42" s="167">
        <f>'Ενεργές συνδέσεις'!O146</f>
        <v>0</v>
      </c>
      <c r="J42" s="167">
        <f>'Ενεργές συνδέσεις'!R146</f>
        <v>0</v>
      </c>
    </row>
    <row r="43" spans="2:10" outlineLevel="1" x14ac:dyDescent="0.25">
      <c r="B43" s="452"/>
      <c r="C43" s="7" t="s">
        <v>9</v>
      </c>
      <c r="D43" s="15" t="s">
        <v>22</v>
      </c>
      <c r="E43" s="168">
        <f>'Ενεργές συνδέσεις'!E146</f>
        <v>0</v>
      </c>
      <c r="F43" s="168">
        <f>'Ενεργές συνδέσεις'!G146</f>
        <v>0</v>
      </c>
      <c r="G43" s="168">
        <f>'Ενεργές συνδέσεις'!J146</f>
        <v>0</v>
      </c>
      <c r="H43" s="168">
        <f>'Ενεργές συνδέσεις'!M146</f>
        <v>0</v>
      </c>
      <c r="I43" s="32"/>
      <c r="J43" s="168">
        <f>'Ενεργές συνδέσεις'!S146</f>
        <v>0</v>
      </c>
    </row>
    <row r="44" spans="2:10" outlineLevel="1" x14ac:dyDescent="0.25">
      <c r="B44" s="451" t="s">
        <v>12</v>
      </c>
      <c r="C44" s="5" t="s">
        <v>8</v>
      </c>
      <c r="D44" s="14" t="s">
        <v>22</v>
      </c>
      <c r="E44" s="167">
        <f>'Ενεργές συνδέσεις'!D169</f>
        <v>0</v>
      </c>
      <c r="F44" s="167">
        <f>'Ενεργές συνδέσεις'!F169</f>
        <v>0</v>
      </c>
      <c r="G44" s="167">
        <f>'Ενεργές συνδέσεις'!I169</f>
        <v>0</v>
      </c>
      <c r="H44" s="167">
        <f>'Ενεργές συνδέσεις'!L169</f>
        <v>0</v>
      </c>
      <c r="I44" s="167">
        <f>'Ενεργές συνδέσεις'!O169</f>
        <v>0</v>
      </c>
      <c r="J44" s="167">
        <f>'Ενεργές συνδέσεις'!R169</f>
        <v>0</v>
      </c>
    </row>
    <row r="45" spans="2:10" outlineLevel="1" x14ac:dyDescent="0.25">
      <c r="B45" s="452"/>
      <c r="C45" s="7" t="s">
        <v>9</v>
      </c>
      <c r="D45" s="15" t="s">
        <v>22</v>
      </c>
      <c r="E45" s="168">
        <f>'Ενεργές συνδέσεις'!E169</f>
        <v>0</v>
      </c>
      <c r="F45" s="168">
        <f>'Ενεργές συνδέσεις'!G169</f>
        <v>0</v>
      </c>
      <c r="G45" s="168">
        <f>'Ενεργές συνδέσεις'!J169</f>
        <v>0</v>
      </c>
      <c r="H45" s="168">
        <f>'Ενεργές συνδέσεις'!M169</f>
        <v>0</v>
      </c>
      <c r="I45" s="32"/>
      <c r="J45" s="168">
        <f>'Ενεργές συνδέσεις'!S169</f>
        <v>0</v>
      </c>
    </row>
    <row r="47" spans="2:10" ht="15.75" x14ac:dyDescent="0.25">
      <c r="B47" s="352" t="s">
        <v>232</v>
      </c>
      <c r="C47" s="352"/>
      <c r="D47" s="352"/>
      <c r="E47" s="352"/>
      <c r="F47" s="352"/>
      <c r="G47" s="352"/>
      <c r="H47" s="352"/>
      <c r="I47" s="352"/>
      <c r="J47" s="352"/>
    </row>
    <row r="48" spans="2:10" ht="4.9000000000000004" customHeight="1" outlineLevel="1" x14ac:dyDescent="0.25"/>
    <row r="49" spans="2:11" outlineLevel="1" x14ac:dyDescent="0.25">
      <c r="B49" s="453"/>
      <c r="C49" s="454"/>
      <c r="D49" s="9" t="s">
        <v>20</v>
      </c>
      <c r="E49" s="9">
        <f>$C$3-5</f>
        <v>2018</v>
      </c>
      <c r="F49" s="9">
        <f>$C$3-4</f>
        <v>2019</v>
      </c>
      <c r="G49" s="9">
        <f>$C$3-3</f>
        <v>2020</v>
      </c>
      <c r="H49" s="9">
        <f>$C$3-2</f>
        <v>2021</v>
      </c>
      <c r="I49" s="9" t="str">
        <f>$C$3-1&amp;""&amp;" ("&amp;"Σεπτ"&amp;")"</f>
        <v>2022 (Σεπτ)</v>
      </c>
      <c r="J49" s="9">
        <f>$C$3-1</f>
        <v>2022</v>
      </c>
    </row>
    <row r="50" spans="2:11" outlineLevel="1" x14ac:dyDescent="0.25">
      <c r="B50" s="451" t="s">
        <v>172</v>
      </c>
      <c r="C50" s="5" t="s">
        <v>8</v>
      </c>
      <c r="D50" s="14" t="s">
        <v>22</v>
      </c>
      <c r="E50" s="167">
        <f>E52+E54+E56+E58+E60+E62</f>
        <v>0</v>
      </c>
      <c r="F50" s="167">
        <f t="shared" ref="F50:J51" si="10">F52+F54+F56+F58+F60+F62</f>
        <v>0</v>
      </c>
      <c r="G50" s="167">
        <f t="shared" si="10"/>
        <v>0</v>
      </c>
      <c r="H50" s="167">
        <f>H52+H56+H58+H60+H62</f>
        <v>30</v>
      </c>
      <c r="I50" s="167">
        <f t="shared" si="10"/>
        <v>130</v>
      </c>
      <c r="J50" s="167">
        <f t="shared" si="10"/>
        <v>2427</v>
      </c>
      <c r="K50" s="146"/>
    </row>
    <row r="51" spans="2:11" outlineLevel="1" x14ac:dyDescent="0.25">
      <c r="B51" s="452"/>
      <c r="C51" s="7" t="s">
        <v>9</v>
      </c>
      <c r="D51" s="15" t="s">
        <v>22</v>
      </c>
      <c r="E51" s="168">
        <f>E53+E55+E57+E59+E61+E63</f>
        <v>0</v>
      </c>
      <c r="F51" s="168">
        <f t="shared" ref="F51:G51" si="11">F53+F55+F57+F59+F61+F63</f>
        <v>0</v>
      </c>
      <c r="G51" s="168">
        <f t="shared" si="11"/>
        <v>0</v>
      </c>
      <c r="H51" s="168">
        <f>H53+H55+H57+H59+H61+H63</f>
        <v>0</v>
      </c>
      <c r="I51" s="32"/>
      <c r="J51" s="168">
        <f t="shared" si="10"/>
        <v>2427</v>
      </c>
    </row>
    <row r="52" spans="2:11" ht="15" customHeight="1" outlineLevel="1" x14ac:dyDescent="0.25">
      <c r="B52" s="451" t="s">
        <v>203</v>
      </c>
      <c r="C52" s="5" t="s">
        <v>8</v>
      </c>
      <c r="D52" s="14" t="s">
        <v>22</v>
      </c>
      <c r="E52" s="167">
        <f>'Ενεργοί μετρητές'!D54</f>
        <v>0</v>
      </c>
      <c r="F52" s="167">
        <f>'Ενεργοί μετρητές'!F54</f>
        <v>0</v>
      </c>
      <c r="G52" s="167">
        <f>'Ενεργοί μετρητές'!I54</f>
        <v>0</v>
      </c>
      <c r="H52" s="167">
        <v>27</v>
      </c>
      <c r="I52" s="167">
        <f>'Ενεργές συνδέσεις'!O54</f>
        <v>63</v>
      </c>
      <c r="J52" s="167">
        <f>'Ενεργοί μετρητές'!R54</f>
        <v>1184</v>
      </c>
    </row>
    <row r="53" spans="2:11" outlineLevel="1" x14ac:dyDescent="0.25">
      <c r="B53" s="452"/>
      <c r="C53" s="7" t="s">
        <v>9</v>
      </c>
      <c r="D53" s="15" t="s">
        <v>22</v>
      </c>
      <c r="E53" s="168">
        <f>'Ενεργοί μετρητές'!E54</f>
        <v>0</v>
      </c>
      <c r="F53" s="168">
        <f>E53+F52</f>
        <v>0</v>
      </c>
      <c r="G53" s="168">
        <f t="shared" ref="G53" si="12">F53+G52</f>
        <v>0</v>
      </c>
      <c r="H53" s="168">
        <f>'Ενεργές συνδέσεις'!M78</f>
        <v>0</v>
      </c>
      <c r="I53" s="32"/>
      <c r="J53" s="168">
        <f>H53+J52</f>
        <v>1184</v>
      </c>
    </row>
    <row r="54" spans="2:11" ht="15" customHeight="1" outlineLevel="1" x14ac:dyDescent="0.25">
      <c r="B54" s="451" t="s">
        <v>205</v>
      </c>
      <c r="C54" s="5" t="s">
        <v>8</v>
      </c>
      <c r="D54" s="14" t="s">
        <v>22</v>
      </c>
      <c r="E54" s="167">
        <f>'Ενεργοί μετρητές'!D77</f>
        <v>0</v>
      </c>
      <c r="F54" s="167">
        <f>'Ενεργοί μετρητές'!F77</f>
        <v>0</v>
      </c>
      <c r="G54" s="167">
        <f>'Ενεργοί μετρητές'!I77</f>
        <v>0</v>
      </c>
      <c r="H54" s="167">
        <v>27</v>
      </c>
      <c r="I54" s="167">
        <f>'Ενεργές συνδέσεις'!O77</f>
        <v>63</v>
      </c>
      <c r="J54" s="167">
        <f>'Ενεργοί μετρητές'!R77</f>
        <v>1184</v>
      </c>
    </row>
    <row r="55" spans="2:11" outlineLevel="1" x14ac:dyDescent="0.25">
      <c r="B55" s="452"/>
      <c r="C55" s="7" t="s">
        <v>9</v>
      </c>
      <c r="D55" s="15" t="s">
        <v>22</v>
      </c>
      <c r="E55" s="168">
        <f>'Ενεργοί μετρητές'!E77</f>
        <v>0</v>
      </c>
      <c r="F55" s="168">
        <f>E55+F54</f>
        <v>0</v>
      </c>
      <c r="G55" s="168">
        <f>F55+G54</f>
        <v>0</v>
      </c>
      <c r="H55" s="168">
        <f>'Ενεργές συνδέσεις'!M101</f>
        <v>0</v>
      </c>
      <c r="I55" s="32"/>
      <c r="J55" s="168">
        <f>H55+J54</f>
        <v>1184</v>
      </c>
    </row>
    <row r="56" spans="2:11" outlineLevel="1" x14ac:dyDescent="0.25">
      <c r="B56" s="451" t="s">
        <v>206</v>
      </c>
      <c r="C56" s="5" t="s">
        <v>8</v>
      </c>
      <c r="D56" s="14" t="s">
        <v>22</v>
      </c>
      <c r="E56" s="167">
        <f>'Ενεργοί μετρητές'!D100</f>
        <v>0</v>
      </c>
      <c r="F56" s="167">
        <f>'Ενεργοί μετρητές'!F100</f>
        <v>0</v>
      </c>
      <c r="G56" s="167">
        <f>'Ενεργοί μετρητές'!I100</f>
        <v>0</v>
      </c>
      <c r="H56" s="167">
        <v>2</v>
      </c>
      <c r="I56" s="167">
        <f>'Ενεργές συνδέσεις'!O100</f>
        <v>4</v>
      </c>
      <c r="J56" s="167">
        <f>'Ενεργοί μετρητές'!R100</f>
        <v>59</v>
      </c>
    </row>
    <row r="57" spans="2:11" outlineLevel="1" x14ac:dyDescent="0.25">
      <c r="B57" s="452"/>
      <c r="C57" s="7" t="s">
        <v>9</v>
      </c>
      <c r="D57" s="15" t="s">
        <v>22</v>
      </c>
      <c r="E57" s="168">
        <f>'Ενεργοί μετρητές'!E100</f>
        <v>0</v>
      </c>
      <c r="F57" s="168">
        <f>E57+F56</f>
        <v>0</v>
      </c>
      <c r="G57" s="168">
        <f>F57+G56</f>
        <v>0</v>
      </c>
      <c r="H57" s="168">
        <f>'Ενεργές συνδέσεις'!M124</f>
        <v>0</v>
      </c>
      <c r="I57" s="32"/>
      <c r="J57" s="168">
        <f>H57+J56</f>
        <v>59</v>
      </c>
    </row>
    <row r="58" spans="2:11" ht="15" customHeight="1" outlineLevel="1" x14ac:dyDescent="0.25">
      <c r="B58" s="451" t="s">
        <v>207</v>
      </c>
      <c r="C58" s="5" t="s">
        <v>8</v>
      </c>
      <c r="D58" s="14" t="s">
        <v>22</v>
      </c>
      <c r="E58" s="167">
        <f>'Ενεργοί μετρητές'!D123</f>
        <v>0</v>
      </c>
      <c r="F58" s="167">
        <f>'Ενεργοί μετρητές'!F123</f>
        <v>0</v>
      </c>
      <c r="G58" s="167">
        <f>'Ενεργοί μετρητές'!I123</f>
        <v>0</v>
      </c>
      <c r="H58" s="167">
        <v>1</v>
      </c>
      <c r="I58" s="167">
        <f>'Ενεργές συνδέσεις'!O123</f>
        <v>0</v>
      </c>
      <c r="J58" s="167">
        <f>'Ενεργοί μετρητές'!R123</f>
        <v>0</v>
      </c>
    </row>
    <row r="59" spans="2:11" outlineLevel="1" x14ac:dyDescent="0.25">
      <c r="B59" s="452"/>
      <c r="C59" s="7" t="s">
        <v>9</v>
      </c>
      <c r="D59" s="15" t="s">
        <v>22</v>
      </c>
      <c r="E59" s="168">
        <f>'Ενεργοί μετρητές'!E123</f>
        <v>0</v>
      </c>
      <c r="F59" s="168">
        <f>E59+F58</f>
        <v>0</v>
      </c>
      <c r="G59" s="168">
        <f t="shared" ref="G59" si="13">F59+G58</f>
        <v>0</v>
      </c>
      <c r="H59" s="168">
        <f>'Ενεργές συνδέσεις'!M147</f>
        <v>0</v>
      </c>
      <c r="I59" s="32"/>
      <c r="J59" s="168">
        <f>H59+J58</f>
        <v>0</v>
      </c>
    </row>
    <row r="60" spans="2:11" outlineLevel="1" x14ac:dyDescent="0.25">
      <c r="B60" s="451" t="s">
        <v>13</v>
      </c>
      <c r="C60" s="5" t="s">
        <v>8</v>
      </c>
      <c r="D60" s="14" t="s">
        <v>22</v>
      </c>
      <c r="E60" s="167">
        <f>'Ενεργοί μετρητές'!D146</f>
        <v>0</v>
      </c>
      <c r="F60" s="167">
        <f>'Ενεργοί μετρητές'!F146</f>
        <v>0</v>
      </c>
      <c r="G60" s="167">
        <f>'Ενεργοί μετρητές'!I146</f>
        <v>0</v>
      </c>
      <c r="H60" s="167">
        <f>'Ενεργές συνδέσεις'!L170</f>
        <v>0</v>
      </c>
      <c r="I60" s="167">
        <f>'Ενεργές συνδέσεις'!O146</f>
        <v>0</v>
      </c>
      <c r="J60" s="167">
        <f>'Ενεργοί μετρητές'!R146</f>
        <v>0</v>
      </c>
    </row>
    <row r="61" spans="2:11" outlineLevel="1" x14ac:dyDescent="0.25">
      <c r="B61" s="452"/>
      <c r="C61" s="7" t="s">
        <v>9</v>
      </c>
      <c r="D61" s="15" t="s">
        <v>22</v>
      </c>
      <c r="E61" s="168">
        <f>'Ενεργοί μετρητές'!E146</f>
        <v>0</v>
      </c>
      <c r="F61" s="168">
        <f>E61+F60</f>
        <v>0</v>
      </c>
      <c r="G61" s="168">
        <f>F61+G60</f>
        <v>0</v>
      </c>
      <c r="H61" s="168">
        <f>'Ενεργές συνδέσεις'!M170</f>
        <v>0</v>
      </c>
      <c r="I61" s="32"/>
      <c r="J61" s="168">
        <f>H61+J60</f>
        <v>0</v>
      </c>
    </row>
    <row r="62" spans="2:11" ht="15" customHeight="1" outlineLevel="1" x14ac:dyDescent="0.25">
      <c r="B62" s="451" t="s">
        <v>12</v>
      </c>
      <c r="C62" s="5" t="s">
        <v>8</v>
      </c>
      <c r="D62" s="14" t="s">
        <v>22</v>
      </c>
      <c r="E62" s="167">
        <f>'Ενεργοί μετρητές'!D169</f>
        <v>0</v>
      </c>
      <c r="F62" s="167">
        <f>'Ενεργοί μετρητές'!F169</f>
        <v>0</v>
      </c>
      <c r="G62" s="167">
        <f>'Ενεργοί μετρητές'!I169</f>
        <v>0</v>
      </c>
      <c r="H62" s="167">
        <f>'Ενεργές συνδέσεις'!L187</f>
        <v>0</v>
      </c>
      <c r="I62" s="167">
        <f>'Ενεργές συνδέσεις'!O169</f>
        <v>0</v>
      </c>
      <c r="J62" s="167">
        <f>'Ενεργοί μετρητές'!R169</f>
        <v>0</v>
      </c>
    </row>
    <row r="63" spans="2:11" outlineLevel="1" x14ac:dyDescent="0.25">
      <c r="B63" s="452"/>
      <c r="C63" s="7" t="s">
        <v>9</v>
      </c>
      <c r="D63" s="15" t="s">
        <v>22</v>
      </c>
      <c r="E63" s="168">
        <f>'Ενεργοί μετρητές'!E169</f>
        <v>0</v>
      </c>
      <c r="F63" s="168">
        <f>E63+F62</f>
        <v>0</v>
      </c>
      <c r="G63" s="168">
        <f>F63+G62</f>
        <v>0</v>
      </c>
      <c r="H63" s="168">
        <f>'Ενεργές συνδέσεις'!M187</f>
        <v>0</v>
      </c>
      <c r="I63" s="32"/>
      <c r="J63" s="168">
        <f>H63+J62</f>
        <v>0</v>
      </c>
    </row>
    <row r="65" spans="2:11" ht="15.75" x14ac:dyDescent="0.25">
      <c r="B65" s="352" t="s">
        <v>233</v>
      </c>
      <c r="C65" s="352"/>
      <c r="D65" s="352"/>
      <c r="E65" s="352"/>
      <c r="F65" s="352"/>
      <c r="G65" s="352"/>
      <c r="H65" s="352"/>
      <c r="I65" s="352"/>
      <c r="J65" s="352"/>
    </row>
    <row r="66" spans="2:11" ht="4.9000000000000004" customHeight="1" outlineLevel="1" x14ac:dyDescent="0.25"/>
    <row r="67" spans="2:11" outlineLevel="1" x14ac:dyDescent="0.25">
      <c r="B67" s="453"/>
      <c r="C67" s="454"/>
      <c r="D67" s="9" t="s">
        <v>20</v>
      </c>
      <c r="E67" s="9">
        <f>$C$3-5</f>
        <v>2018</v>
      </c>
      <c r="F67" s="9">
        <f>$C$3-4</f>
        <v>2019</v>
      </c>
      <c r="G67" s="9">
        <f>$C$3-3</f>
        <v>2020</v>
      </c>
      <c r="H67" s="9">
        <f>$C$3-2</f>
        <v>2021</v>
      </c>
      <c r="I67" s="9" t="str">
        <f>$C$3-1&amp;""&amp;" ("&amp;"Σεπτ"&amp;")"</f>
        <v>2022 (Σεπτ)</v>
      </c>
      <c r="J67" s="9">
        <f>$C$3-1</f>
        <v>2022</v>
      </c>
    </row>
    <row r="68" spans="2:11" outlineLevel="1" x14ac:dyDescent="0.25">
      <c r="B68" s="451" t="s">
        <v>229</v>
      </c>
      <c r="C68" s="5" t="s">
        <v>6</v>
      </c>
      <c r="D68" s="14" t="s">
        <v>22</v>
      </c>
      <c r="E68" s="167">
        <f>E70+E72+E74+E76+E78+E80</f>
        <v>0</v>
      </c>
      <c r="F68" s="167">
        <f t="shared" ref="F68:I68" si="14">F70+F72+F74+F76+F78+F80</f>
        <v>0</v>
      </c>
      <c r="G68" s="167">
        <f t="shared" si="14"/>
        <v>0</v>
      </c>
      <c r="H68" s="167">
        <f>H70+H74+H76+H78+H80</f>
        <v>30</v>
      </c>
      <c r="I68" s="167">
        <f t="shared" si="14"/>
        <v>130</v>
      </c>
      <c r="J68" s="167">
        <f t="shared" ref="J68" si="15">J70+J72+J74+J76+J78+J80</f>
        <v>2427</v>
      </c>
      <c r="K68" s="146"/>
    </row>
    <row r="69" spans="2:11" outlineLevel="1" x14ac:dyDescent="0.25">
      <c r="B69" s="452"/>
      <c r="C69" s="7" t="s">
        <v>7</v>
      </c>
      <c r="D69" s="15" t="s">
        <v>22</v>
      </c>
      <c r="E69" s="168">
        <f t="shared" ref="E69:G69" si="16">E71+E73+E75+E77+E79+E81</f>
        <v>0</v>
      </c>
      <c r="F69" s="168">
        <f t="shared" si="16"/>
        <v>0</v>
      </c>
      <c r="G69" s="168">
        <f t="shared" si="16"/>
        <v>0</v>
      </c>
      <c r="H69" s="168">
        <f>H71+H73+H75+H77+H79+H81</f>
        <v>0</v>
      </c>
      <c r="I69" s="32"/>
      <c r="J69" s="168">
        <f t="shared" ref="J69" si="17">J71+J73+J75+J77+J79+J81</f>
        <v>2427</v>
      </c>
    </row>
    <row r="70" spans="2:11" outlineLevel="1" x14ac:dyDescent="0.25">
      <c r="B70" s="451" t="s">
        <v>203</v>
      </c>
      <c r="C70" s="5" t="s">
        <v>6</v>
      </c>
      <c r="D70" s="14" t="s">
        <v>22</v>
      </c>
      <c r="E70" s="167">
        <f>'Ενεργοί πελάτες'!D54</f>
        <v>0</v>
      </c>
      <c r="F70" s="167">
        <f>'Ενεργοί πελάτες'!F54</f>
        <v>0</v>
      </c>
      <c r="G70" s="167">
        <f>'Ενεργοί πελάτες'!I54</f>
        <v>0</v>
      </c>
      <c r="H70" s="167">
        <v>27</v>
      </c>
      <c r="I70" s="167">
        <f>'Ενεργοί πελάτες'!O54</f>
        <v>63</v>
      </c>
      <c r="J70" s="167">
        <f>'Ενεργοί πελάτες'!R54</f>
        <v>1184</v>
      </c>
    </row>
    <row r="71" spans="2:11" outlineLevel="1" x14ac:dyDescent="0.25">
      <c r="B71" s="452"/>
      <c r="C71" s="7" t="s">
        <v>7</v>
      </c>
      <c r="D71" s="15" t="s">
        <v>22</v>
      </c>
      <c r="E71" s="168">
        <f>'Ενεργοί πελάτες'!E54</f>
        <v>0</v>
      </c>
      <c r="F71" s="168">
        <f>E71+F70</f>
        <v>0</v>
      </c>
      <c r="G71" s="168">
        <f>F71+G70</f>
        <v>0</v>
      </c>
      <c r="H71" s="168">
        <f>'Ενεργές συνδέσεις'!M102</f>
        <v>0</v>
      </c>
      <c r="I71" s="32"/>
      <c r="J71" s="168">
        <f>H71+J70</f>
        <v>1184</v>
      </c>
    </row>
    <row r="72" spans="2:11" outlineLevel="1" x14ac:dyDescent="0.25">
      <c r="B72" s="451" t="s">
        <v>205</v>
      </c>
      <c r="C72" s="5" t="s">
        <v>6</v>
      </c>
      <c r="D72" s="14" t="s">
        <v>22</v>
      </c>
      <c r="E72" s="167">
        <f>'Ενεργοί πελάτες'!D78</f>
        <v>0</v>
      </c>
      <c r="F72" s="167">
        <f>'Ενεργοί πελάτες'!F78</f>
        <v>0</v>
      </c>
      <c r="G72" s="167">
        <f>'Ενεργοί πελάτες'!I78</f>
        <v>0</v>
      </c>
      <c r="H72" s="167">
        <v>27</v>
      </c>
      <c r="I72" s="167">
        <f>'Ενεργοί πελάτες'!O78</f>
        <v>63</v>
      </c>
      <c r="J72" s="167">
        <f>'Ενεργοί πελάτες'!R78</f>
        <v>1184</v>
      </c>
    </row>
    <row r="73" spans="2:11" outlineLevel="1" x14ac:dyDescent="0.25">
      <c r="B73" s="452"/>
      <c r="C73" s="7" t="s">
        <v>7</v>
      </c>
      <c r="D73" s="15" t="s">
        <v>22</v>
      </c>
      <c r="E73" s="168">
        <f>'Ενεργοί πελάτες'!E78</f>
        <v>0</v>
      </c>
      <c r="F73" s="168">
        <f>E73+F72</f>
        <v>0</v>
      </c>
      <c r="G73" s="168">
        <f>F73+G72</f>
        <v>0</v>
      </c>
      <c r="H73" s="168">
        <f>'Ενεργές συνδέσεις'!M125</f>
        <v>0</v>
      </c>
      <c r="I73" s="32"/>
      <c r="J73" s="168">
        <f>H73+J72</f>
        <v>1184</v>
      </c>
    </row>
    <row r="74" spans="2:11" outlineLevel="1" x14ac:dyDescent="0.25">
      <c r="B74" s="451" t="s">
        <v>206</v>
      </c>
      <c r="C74" s="5" t="s">
        <v>6</v>
      </c>
      <c r="D74" s="14" t="s">
        <v>22</v>
      </c>
      <c r="E74" s="167">
        <f>'Ενεργοί πελάτες'!D102</f>
        <v>0</v>
      </c>
      <c r="F74" s="167">
        <f>'Ενεργοί πελάτες'!F102</f>
        <v>0</v>
      </c>
      <c r="G74" s="167">
        <f>'Ενεργοί πελάτες'!I102</f>
        <v>0</v>
      </c>
      <c r="H74" s="167">
        <v>2</v>
      </c>
      <c r="I74" s="167">
        <f>'Ενεργοί πελάτες'!O102</f>
        <v>4</v>
      </c>
      <c r="J74" s="167">
        <f>'Ενεργοί πελάτες'!R102</f>
        <v>59</v>
      </c>
    </row>
    <row r="75" spans="2:11" outlineLevel="1" x14ac:dyDescent="0.25">
      <c r="B75" s="452"/>
      <c r="C75" s="7" t="s">
        <v>7</v>
      </c>
      <c r="D75" s="15" t="s">
        <v>22</v>
      </c>
      <c r="E75" s="168">
        <f>'Ενεργοί πελάτες'!E102</f>
        <v>0</v>
      </c>
      <c r="F75" s="168">
        <f>E75+F74</f>
        <v>0</v>
      </c>
      <c r="G75" s="168">
        <f>F75+G74</f>
        <v>0</v>
      </c>
      <c r="H75" s="168">
        <f>'Ενεργές συνδέσεις'!M148</f>
        <v>0</v>
      </c>
      <c r="I75" s="32"/>
      <c r="J75" s="168">
        <f>H75+J74</f>
        <v>59</v>
      </c>
    </row>
    <row r="76" spans="2:11" outlineLevel="1" x14ac:dyDescent="0.25">
      <c r="B76" s="451" t="s">
        <v>207</v>
      </c>
      <c r="C76" s="5" t="s">
        <v>6</v>
      </c>
      <c r="D76" s="14" t="s">
        <v>22</v>
      </c>
      <c r="E76" s="167">
        <f>'Ενεργοί πελάτες'!D125</f>
        <v>0</v>
      </c>
      <c r="F76" s="167">
        <f>'Ενεργοί πελάτες'!F125</f>
        <v>0</v>
      </c>
      <c r="G76" s="167">
        <f>'Ενεργοί πελάτες'!I125</f>
        <v>0</v>
      </c>
      <c r="H76" s="167">
        <v>1</v>
      </c>
      <c r="I76" s="167">
        <f>'Ενεργοί πελάτες'!O125</f>
        <v>0</v>
      </c>
      <c r="J76" s="167">
        <f>'Ενεργοί πελάτες'!R125</f>
        <v>0</v>
      </c>
    </row>
    <row r="77" spans="2:11" outlineLevel="1" x14ac:dyDescent="0.25">
      <c r="B77" s="452"/>
      <c r="C77" s="7" t="s">
        <v>7</v>
      </c>
      <c r="D77" s="15" t="s">
        <v>22</v>
      </c>
      <c r="E77" s="168">
        <f>'Ενεργοί πελάτες'!E125</f>
        <v>0</v>
      </c>
      <c r="F77" s="168">
        <f>E77+F76</f>
        <v>0</v>
      </c>
      <c r="G77" s="168">
        <f>F77+G76</f>
        <v>0</v>
      </c>
      <c r="H77" s="168">
        <f>'Ενεργές συνδέσεις'!M171</f>
        <v>0</v>
      </c>
      <c r="I77" s="32"/>
      <c r="J77" s="168">
        <f>H77+J76</f>
        <v>0</v>
      </c>
    </row>
    <row r="78" spans="2:11" outlineLevel="1" x14ac:dyDescent="0.25">
      <c r="B78" s="451" t="s">
        <v>13</v>
      </c>
      <c r="C78" s="5" t="s">
        <v>6</v>
      </c>
      <c r="D78" s="14" t="s">
        <v>22</v>
      </c>
      <c r="E78" s="167">
        <f>'Ενεργοί πελάτες'!D148</f>
        <v>0</v>
      </c>
      <c r="F78" s="167">
        <f>'Ενεργοί πελάτες'!F148</f>
        <v>0</v>
      </c>
      <c r="G78" s="167">
        <f>'Ενεργοί πελάτες'!I148</f>
        <v>0</v>
      </c>
      <c r="H78" s="167">
        <f>'Ενεργές συνδέσεις'!L188</f>
        <v>0</v>
      </c>
      <c r="I78" s="167">
        <f>'Ενεργοί πελάτες'!O148</f>
        <v>0</v>
      </c>
      <c r="J78" s="167">
        <f>'Ενεργοί πελάτες'!R148</f>
        <v>0</v>
      </c>
      <c r="K78" s="146"/>
    </row>
    <row r="79" spans="2:11" outlineLevel="1" x14ac:dyDescent="0.25">
      <c r="B79" s="452"/>
      <c r="C79" s="7" t="s">
        <v>7</v>
      </c>
      <c r="D79" s="15" t="s">
        <v>22</v>
      </c>
      <c r="E79" s="168">
        <f>'Ενεργοί πελάτες'!E148</f>
        <v>0</v>
      </c>
      <c r="F79" s="168">
        <f>E79+F78</f>
        <v>0</v>
      </c>
      <c r="G79" s="168">
        <f>F79+G78</f>
        <v>0</v>
      </c>
      <c r="H79" s="168">
        <f>'Ενεργές συνδέσεις'!M188</f>
        <v>0</v>
      </c>
      <c r="I79" s="32"/>
      <c r="J79" s="168">
        <f>H79+J78</f>
        <v>0</v>
      </c>
      <c r="K79" s="146"/>
    </row>
    <row r="80" spans="2:11" outlineLevel="1" x14ac:dyDescent="0.25">
      <c r="B80" s="451" t="s">
        <v>12</v>
      </c>
      <c r="C80" s="5" t="s">
        <v>6</v>
      </c>
      <c r="D80" s="14" t="s">
        <v>22</v>
      </c>
      <c r="E80" s="167">
        <f>'Ενεργοί πελάτες'!D171</f>
        <v>0</v>
      </c>
      <c r="F80" s="167">
        <f>'Ενεργοί πελάτες'!F171</f>
        <v>0</v>
      </c>
      <c r="G80" s="167">
        <f>'Ενεργοί πελάτες'!I171</f>
        <v>0</v>
      </c>
      <c r="H80" s="167">
        <f>'Ενεργές συνδέσεις'!L205</f>
        <v>0</v>
      </c>
      <c r="I80" s="167">
        <f>'Ενεργοί πελάτες'!O171</f>
        <v>0</v>
      </c>
      <c r="J80" s="167">
        <f>'Ενεργοί πελάτες'!R171</f>
        <v>0</v>
      </c>
    </row>
    <row r="81" spans="2:11" outlineLevel="1" x14ac:dyDescent="0.25">
      <c r="B81" s="452"/>
      <c r="C81" s="7" t="s">
        <v>7</v>
      </c>
      <c r="D81" s="15" t="s">
        <v>22</v>
      </c>
      <c r="E81" s="168">
        <f>'Ενεργοί πελάτες'!E171</f>
        <v>0</v>
      </c>
      <c r="F81" s="168">
        <f>E81+F80</f>
        <v>0</v>
      </c>
      <c r="G81" s="168">
        <f>F81+G80</f>
        <v>0</v>
      </c>
      <c r="H81" s="168">
        <f>'Ενεργές συνδέσεις'!M205</f>
        <v>0</v>
      </c>
      <c r="I81" s="32"/>
      <c r="J81" s="168">
        <f>H81+J80</f>
        <v>0</v>
      </c>
    </row>
    <row r="82" spans="2:11" outlineLevel="1" x14ac:dyDescent="0.25">
      <c r="B82" s="17" t="s">
        <v>201</v>
      </c>
    </row>
    <row r="84" spans="2:11" ht="15.75" x14ac:dyDescent="0.25">
      <c r="B84" s="352" t="s">
        <v>234</v>
      </c>
      <c r="C84" s="352"/>
      <c r="D84" s="352"/>
      <c r="E84" s="352"/>
      <c r="F84" s="352"/>
      <c r="G84" s="352"/>
      <c r="H84" s="352"/>
      <c r="I84" s="352"/>
      <c r="J84" s="352"/>
    </row>
    <row r="85" spans="2:11" ht="4.9000000000000004" customHeight="1" outlineLevel="1" x14ac:dyDescent="0.25"/>
    <row r="86" spans="2:11" outlineLevel="1" x14ac:dyDescent="0.25">
      <c r="B86" s="453"/>
      <c r="C86" s="454"/>
      <c r="D86" s="9" t="s">
        <v>20</v>
      </c>
      <c r="E86" s="9">
        <f>$C$3-5</f>
        <v>2018</v>
      </c>
      <c r="F86" s="9">
        <f>$C$3-4</f>
        <v>2019</v>
      </c>
      <c r="G86" s="9">
        <f>$C$3-3</f>
        <v>2020</v>
      </c>
      <c r="H86" s="9">
        <f>$C$3-2</f>
        <v>2021</v>
      </c>
      <c r="I86" s="9" t="str">
        <f>$C$3-1&amp;""&amp;" ("&amp;"Σεπτ"&amp;")"</f>
        <v>2022 (Σεπτ)</v>
      </c>
      <c r="J86" s="9">
        <f>$C$3-1</f>
        <v>2022</v>
      </c>
    </row>
    <row r="87" spans="2:11" outlineLevel="1" x14ac:dyDescent="0.25">
      <c r="B87" s="459" t="s">
        <v>11</v>
      </c>
      <c r="C87" s="460"/>
      <c r="D87" s="15" t="s">
        <v>26</v>
      </c>
      <c r="E87" s="168">
        <f t="shared" ref="E87:J87" si="18">SUM(E88:E93)</f>
        <v>0</v>
      </c>
      <c r="F87" s="168">
        <f t="shared" si="18"/>
        <v>0</v>
      </c>
      <c r="G87" s="168">
        <f t="shared" si="18"/>
        <v>0</v>
      </c>
      <c r="H87" s="168">
        <f t="shared" si="18"/>
        <v>777.27699999999993</v>
      </c>
      <c r="I87" s="168">
        <f t="shared" si="18"/>
        <v>1135</v>
      </c>
      <c r="J87" s="168">
        <f t="shared" si="18"/>
        <v>0</v>
      </c>
    </row>
    <row r="88" spans="2:11" outlineLevel="1" x14ac:dyDescent="0.25">
      <c r="B88" s="459" t="s">
        <v>203</v>
      </c>
      <c r="C88" s="460"/>
      <c r="D88" s="15" t="s">
        <v>26</v>
      </c>
      <c r="E88" s="168">
        <f>'Διανεμόμενες ποσότητες αερίου'!D56</f>
        <v>0</v>
      </c>
      <c r="F88" s="168">
        <f>'Διανεμόμενες ποσότητες αερίου'!E56</f>
        <v>0</v>
      </c>
      <c r="G88" s="168">
        <f>'Διανεμόμενες ποσότητες αερίου'!G56</f>
        <v>0</v>
      </c>
      <c r="H88" s="168">
        <v>732</v>
      </c>
      <c r="I88" s="168">
        <f>'Διανεμόμενες ποσότητες αερίου'!K56</f>
        <v>840</v>
      </c>
      <c r="J88" s="168">
        <f>'Διανεμόμενες ποσότητες αερίου'!M56</f>
        <v>0</v>
      </c>
      <c r="K88" s="146"/>
    </row>
    <row r="89" spans="2:11" outlineLevel="1" x14ac:dyDescent="0.25">
      <c r="B89" s="459" t="s">
        <v>205</v>
      </c>
      <c r="C89" s="460"/>
      <c r="D89" s="15" t="s">
        <v>26</v>
      </c>
      <c r="E89" s="168">
        <f>'Διανεμόμενες ποσότητες αερίου'!D80</f>
        <v>0</v>
      </c>
      <c r="F89" s="168">
        <f>'Διανεμόμενες ποσότητες αερίου'!E80</f>
        <v>0</v>
      </c>
      <c r="G89" s="168">
        <f>'Διανεμόμενες ποσότητες αερίου'!G80</f>
        <v>0</v>
      </c>
      <c r="H89" s="168">
        <f>'Διανεμόμενες ποσότητες αερίου'!I80</f>
        <v>0</v>
      </c>
      <c r="I89" s="168">
        <f>'Διανεμόμενες ποσότητες αερίου'!K80</f>
        <v>0</v>
      </c>
      <c r="J89" s="168">
        <f>'Διανεμόμενες ποσότητες αερίου'!M80</f>
        <v>0</v>
      </c>
      <c r="K89" s="146"/>
    </row>
    <row r="90" spans="2:11" outlineLevel="1" x14ac:dyDescent="0.25">
      <c r="B90" s="459" t="s">
        <v>206</v>
      </c>
      <c r="C90" s="460"/>
      <c r="D90" s="30" t="s">
        <v>26</v>
      </c>
      <c r="E90" s="169">
        <f>'Διανεμόμενες ποσότητες αερίου'!D104</f>
        <v>0</v>
      </c>
      <c r="F90" s="169">
        <f>'Διανεμόμενες ποσότητες αερίου'!E104</f>
        <v>0</v>
      </c>
      <c r="G90" s="169">
        <f>'Διανεμόμενες ποσότητες αερίου'!G104</f>
        <v>0</v>
      </c>
      <c r="H90" s="169">
        <v>24.387</v>
      </c>
      <c r="I90" s="169">
        <f>'Διανεμόμενες ποσότητες αερίου'!K104</f>
        <v>295</v>
      </c>
      <c r="J90" s="169">
        <f>'Διανεμόμενες ποσότητες αερίου'!M104</f>
        <v>0</v>
      </c>
    </row>
    <row r="91" spans="2:11" outlineLevel="1" x14ac:dyDescent="0.25">
      <c r="B91" s="459" t="s">
        <v>207</v>
      </c>
      <c r="C91" s="460"/>
      <c r="D91" s="15" t="s">
        <v>26</v>
      </c>
      <c r="E91" s="168">
        <f>'Διανεμόμενες ποσότητες αερίου'!D128</f>
        <v>0</v>
      </c>
      <c r="F91" s="168">
        <f>'Διανεμόμενες ποσότητες αερίου'!E128</f>
        <v>0</v>
      </c>
      <c r="G91" s="168">
        <f>'Διανεμόμενες ποσότητες αερίου'!G128</f>
        <v>0</v>
      </c>
      <c r="H91" s="168">
        <v>20.89</v>
      </c>
      <c r="I91" s="168">
        <f>'Διανεμόμενες ποσότητες αερίου'!K128</f>
        <v>0</v>
      </c>
      <c r="J91" s="168">
        <f>'Διανεμόμενες ποσότητες αερίου'!M128</f>
        <v>0</v>
      </c>
    </row>
    <row r="92" spans="2:11" ht="27" customHeight="1" outlineLevel="1" x14ac:dyDescent="0.25">
      <c r="B92" s="459" t="s">
        <v>13</v>
      </c>
      <c r="C92" s="460"/>
      <c r="D92" s="15" t="s">
        <v>26</v>
      </c>
      <c r="E92" s="168">
        <f>'Διανεμόμενες ποσότητες αερίου'!D152</f>
        <v>0</v>
      </c>
      <c r="F92" s="168">
        <f>'Διανεμόμενες ποσότητες αερίου'!E152</f>
        <v>0</v>
      </c>
      <c r="G92" s="168">
        <f>'Διανεμόμενες ποσότητες αερίου'!G152</f>
        <v>0</v>
      </c>
      <c r="H92" s="168">
        <f>'Διανεμόμενες ποσότητες αερίου'!I152</f>
        <v>0</v>
      </c>
      <c r="I92" s="168">
        <f>'Διανεμόμενες ποσότητες αερίου'!K152</f>
        <v>0</v>
      </c>
      <c r="J92" s="168">
        <f>'Διανεμόμενες ποσότητες αερίου'!M152</f>
        <v>0</v>
      </c>
    </row>
    <row r="93" spans="2:11" outlineLevel="1" x14ac:dyDescent="0.25">
      <c r="B93" s="459" t="s">
        <v>12</v>
      </c>
      <c r="C93" s="460"/>
      <c r="D93" s="15" t="s">
        <v>26</v>
      </c>
      <c r="E93" s="168">
        <f>'Διανεμόμενες ποσότητες αερίου'!D176</f>
        <v>0</v>
      </c>
      <c r="F93" s="168">
        <f>'Διανεμόμενες ποσότητες αερίου'!E176</f>
        <v>0</v>
      </c>
      <c r="G93" s="168">
        <f>'Διανεμόμενες ποσότητες αερίου'!G176</f>
        <v>0</v>
      </c>
      <c r="H93" s="168">
        <f>'Διανεμόμενες ποσότητες αερίου'!I176</f>
        <v>0</v>
      </c>
      <c r="I93" s="168">
        <f>'Διανεμόμενες ποσότητες αερίου'!K176</f>
        <v>0</v>
      </c>
      <c r="J93" s="168">
        <f>'Διανεμόμενες ποσότητες αερίου'!M176</f>
        <v>0</v>
      </c>
    </row>
    <row r="95" spans="2:11" ht="15.75" x14ac:dyDescent="0.25">
      <c r="B95" s="352" t="s">
        <v>230</v>
      </c>
      <c r="C95" s="352"/>
      <c r="D95" s="352"/>
      <c r="E95" s="352"/>
      <c r="F95" s="352"/>
      <c r="G95" s="352"/>
      <c r="H95" s="352"/>
      <c r="I95" s="352"/>
      <c r="J95" s="352"/>
    </row>
    <row r="96" spans="2:11" ht="4.9000000000000004" customHeight="1" outlineLevel="1" x14ac:dyDescent="0.25"/>
    <row r="97" spans="2:10" outlineLevel="1" x14ac:dyDescent="0.25">
      <c r="B97" s="453"/>
      <c r="C97" s="454"/>
      <c r="D97" s="9" t="s">
        <v>20</v>
      </c>
      <c r="E97" s="9">
        <f>$C$3-5</f>
        <v>2018</v>
      </c>
      <c r="F97" s="9">
        <f>$C$3-4</f>
        <v>2019</v>
      </c>
      <c r="G97" s="9">
        <f>$C$3-3</f>
        <v>2020</v>
      </c>
      <c r="H97" s="9">
        <f>$C$3-2</f>
        <v>2021</v>
      </c>
      <c r="I97" s="9" t="str">
        <f>$C$3-1&amp;""&amp;" ("&amp;"Σεπτ"&amp;")"</f>
        <v>2022 (Σεπτ)</v>
      </c>
      <c r="J97" s="9">
        <f>$C$3-1</f>
        <v>2022</v>
      </c>
    </row>
    <row r="98" spans="2:10" outlineLevel="1" x14ac:dyDescent="0.25">
      <c r="B98" s="455" t="s">
        <v>19</v>
      </c>
      <c r="C98" s="5" t="s">
        <v>18</v>
      </c>
      <c r="D98" s="14" t="s">
        <v>22</v>
      </c>
      <c r="E98" s="167">
        <f>SUM(E99:E101)</f>
        <v>0</v>
      </c>
      <c r="F98" s="167">
        <f>SUM(F99:F101)</f>
        <v>0</v>
      </c>
      <c r="G98" s="167">
        <f t="shared" ref="G98:J98" si="19">SUM(G99:G101)</f>
        <v>0</v>
      </c>
      <c r="H98" s="167">
        <f t="shared" si="19"/>
        <v>0</v>
      </c>
      <c r="I98" s="167">
        <f t="shared" si="19"/>
        <v>0</v>
      </c>
      <c r="J98" s="167">
        <f t="shared" si="19"/>
        <v>0</v>
      </c>
    </row>
    <row r="99" spans="2:10" outlineLevel="1" x14ac:dyDescent="0.25">
      <c r="B99" s="456"/>
      <c r="C99" s="13" t="s">
        <v>16</v>
      </c>
      <c r="D99" s="16" t="s">
        <v>22</v>
      </c>
      <c r="E99" s="170">
        <f>'Παραδοχές διείσδυσης - κάλυψης'!E30</f>
        <v>0</v>
      </c>
      <c r="F99" s="170">
        <f>'Παραδοχές διείσδυσης - κάλυψης'!I30</f>
        <v>0</v>
      </c>
      <c r="G99" s="170">
        <f>'Παραδοχές διείσδυσης - κάλυψης'!M30</f>
        <v>0</v>
      </c>
      <c r="H99" s="170">
        <f>'Παραδοχές διείσδυσης - κάλυψης'!Q30</f>
        <v>0</v>
      </c>
      <c r="I99" s="170">
        <f>'Παραδοχές διείσδυσης - κάλυψης'!U30</f>
        <v>0</v>
      </c>
      <c r="J99" s="170">
        <f>'Παραδοχές διείσδυσης - κάλυψης'!Y30</f>
        <v>0</v>
      </c>
    </row>
    <row r="100" spans="2:10" outlineLevel="1" x14ac:dyDescent="0.25">
      <c r="B100" s="456"/>
      <c r="C100" s="141" t="s">
        <v>174</v>
      </c>
      <c r="D100" s="16" t="s">
        <v>22</v>
      </c>
      <c r="E100" s="171">
        <f>'Παραδοχές διείσδυσης - κάλυψης'!F30</f>
        <v>0</v>
      </c>
      <c r="F100" s="171">
        <f>'Παραδοχές διείσδυσης - κάλυψης'!J30</f>
        <v>0</v>
      </c>
      <c r="G100" s="171">
        <f>'Παραδοχές διείσδυσης - κάλυψης'!N30</f>
        <v>0</v>
      </c>
      <c r="H100" s="171">
        <f>'Παραδοχές διείσδυσης - κάλυψης'!R30</f>
        <v>0</v>
      </c>
      <c r="I100" s="171">
        <f>'Παραδοχές διείσδυσης - κάλυψης'!V30</f>
        <v>0</v>
      </c>
      <c r="J100" s="171">
        <f>'Παραδοχές διείσδυσης - κάλυψης'!Z30</f>
        <v>0</v>
      </c>
    </row>
    <row r="101" spans="2:10" outlineLevel="1" x14ac:dyDescent="0.25">
      <c r="B101" s="457"/>
      <c r="C101" s="7" t="s">
        <v>13</v>
      </c>
      <c r="D101" s="15" t="s">
        <v>22</v>
      </c>
      <c r="E101" s="168">
        <f>'Παραδοχές διείσδυσης - κάλυψης'!G30</f>
        <v>0</v>
      </c>
      <c r="F101" s="168">
        <f>'Παραδοχές διείσδυσης - κάλυψης'!K30</f>
        <v>0</v>
      </c>
      <c r="G101" s="168">
        <f>'Παραδοχές διείσδυσης - κάλυψης'!O30</f>
        <v>0</v>
      </c>
      <c r="H101" s="168">
        <f>'Παραδοχές διείσδυσης - κάλυψης'!S30</f>
        <v>0</v>
      </c>
      <c r="I101" s="168">
        <f>'Παραδοχές διείσδυσης - κάλυψης'!W30</f>
        <v>0</v>
      </c>
      <c r="J101" s="168">
        <f>'Παραδοχές διείσδυσης - κάλυψης'!AA30</f>
        <v>0</v>
      </c>
    </row>
    <row r="102" spans="2:10" outlineLevel="1" x14ac:dyDescent="0.25">
      <c r="B102" s="458" t="s">
        <v>27</v>
      </c>
      <c r="C102" s="458"/>
      <c r="D102" s="12" t="s">
        <v>22</v>
      </c>
      <c r="E102" s="172">
        <f>'Παραδοχές διείσδυσης - κάλυψης'!D54</f>
        <v>0</v>
      </c>
      <c r="F102" s="172">
        <f>'Παραδοχές διείσδυσης - κάλυψης'!E54</f>
        <v>0</v>
      </c>
      <c r="G102" s="172">
        <f>'Παραδοχές διείσδυσης - κάλυψης'!F54</f>
        <v>0</v>
      </c>
      <c r="H102" s="172">
        <f>'Παραδοχές διείσδυσης - κάλυψης'!G54</f>
        <v>0</v>
      </c>
      <c r="I102" s="172">
        <f>'Παραδοχές διείσδυσης - κάλυψης'!H54</f>
        <v>0</v>
      </c>
      <c r="J102" s="172">
        <f>'Παραδοχές διείσδυσης - κάλυψης'!I54</f>
        <v>0</v>
      </c>
    </row>
    <row r="103" spans="2:10" outlineLevel="1" x14ac:dyDescent="0.25">
      <c r="B103" s="17" t="s">
        <v>15</v>
      </c>
    </row>
    <row r="104" spans="2:10" outlineLevel="1" x14ac:dyDescent="0.25">
      <c r="B104" s="17" t="s">
        <v>175</v>
      </c>
    </row>
    <row r="106" spans="2:10" ht="15.75" x14ac:dyDescent="0.25">
      <c r="B106" s="352" t="s">
        <v>243</v>
      </c>
      <c r="C106" s="352"/>
      <c r="D106" s="352"/>
      <c r="E106" s="352"/>
      <c r="F106" s="352"/>
      <c r="G106" s="352"/>
      <c r="H106" s="352"/>
      <c r="I106" s="352"/>
      <c r="J106" s="352"/>
    </row>
    <row r="107" spans="2:10" ht="4.9000000000000004" customHeight="1" outlineLevel="1" x14ac:dyDescent="0.25"/>
    <row r="108" spans="2:10" outlineLevel="1" x14ac:dyDescent="0.25">
      <c r="B108" s="453"/>
      <c r="C108" s="454"/>
      <c r="D108" s="9" t="s">
        <v>20</v>
      </c>
      <c r="E108" s="9">
        <f>$C$3-5</f>
        <v>2018</v>
      </c>
      <c r="F108" s="9">
        <f>$C$3-4</f>
        <v>2019</v>
      </c>
      <c r="G108" s="9">
        <f>$C$3-3</f>
        <v>2020</v>
      </c>
      <c r="H108" s="9">
        <f>$C$3-2</f>
        <v>2021</v>
      </c>
      <c r="I108" s="9" t="str">
        <f>$C$3-1&amp;""&amp;" ("&amp;"Σεπτ"&amp;")"</f>
        <v>2022 (Σεπτ)</v>
      </c>
      <c r="J108" s="9" t="str">
        <f>$C$3-1&amp;""&amp;" ("&amp;"Πρόβλεψη"&amp;")"</f>
        <v>2022 (Πρόβλεψη)</v>
      </c>
    </row>
    <row r="109" spans="2:10" outlineLevel="1" x14ac:dyDescent="0.25">
      <c r="B109" s="461" t="s">
        <v>28</v>
      </c>
      <c r="C109" s="462"/>
      <c r="D109" s="15" t="s">
        <v>21</v>
      </c>
      <c r="E109" s="168">
        <f>'Παραδοχές διείσδυσης - κάλυψης'!D76</f>
        <v>0</v>
      </c>
      <c r="F109" s="168">
        <f>'Παραδοχές διείσδυσης - κάλυψης'!E76</f>
        <v>0</v>
      </c>
      <c r="G109" s="168">
        <f>'Παραδοχές διείσδυσης - κάλυψης'!F76</f>
        <v>0</v>
      </c>
      <c r="H109" s="168">
        <f>'Παραδοχές διείσδυσης - κάλυψης'!G76</f>
        <v>0</v>
      </c>
      <c r="I109" s="168">
        <f>'Παραδοχές διείσδυσης - κάλυψης'!H76</f>
        <v>0</v>
      </c>
      <c r="J109" s="168">
        <f>'Παραδοχές διείσδυσης - κάλυψης'!I76</f>
        <v>0</v>
      </c>
    </row>
    <row r="110" spans="2:10" outlineLevel="1" x14ac:dyDescent="0.25">
      <c r="B110" s="458" t="s">
        <v>29</v>
      </c>
      <c r="C110" s="458"/>
      <c r="D110" s="12" t="s">
        <v>21</v>
      </c>
      <c r="E110" s="172">
        <f>'Παραδοχές διείσδυσης - κάλυψης'!D98</f>
        <v>0</v>
      </c>
      <c r="F110" s="172">
        <f>'Παραδοχές διείσδυσης - κάλυψης'!E98</f>
        <v>0</v>
      </c>
      <c r="G110" s="172">
        <f>'Παραδοχές διείσδυσης - κάλυψης'!F98</f>
        <v>0</v>
      </c>
      <c r="H110" s="172">
        <f>'Παραδοχές διείσδυσης - κάλυψης'!G98</f>
        <v>0</v>
      </c>
      <c r="I110" s="172">
        <f>'Παραδοχές διείσδυσης - κάλυψης'!H98</f>
        <v>0</v>
      </c>
      <c r="J110" s="172">
        <f>'Παραδοχές διείσδυσης - κάλυψης'!I98</f>
        <v>0</v>
      </c>
    </row>
    <row r="111" spans="2:10" outlineLevel="1" x14ac:dyDescent="0.25">
      <c r="B111" s="433" t="s">
        <v>30</v>
      </c>
      <c r="C111" s="433"/>
      <c r="D111" s="433"/>
      <c r="E111" s="433"/>
      <c r="F111" s="433"/>
      <c r="G111" s="433"/>
      <c r="H111" s="433"/>
      <c r="I111" s="433"/>
    </row>
  </sheetData>
  <mergeCells count="58">
    <mergeCell ref="B65:J65"/>
    <mergeCell ref="B5:I5"/>
    <mergeCell ref="J2:L2"/>
    <mergeCell ref="C2:H2"/>
    <mergeCell ref="B87:C87"/>
    <mergeCell ref="B36:B37"/>
    <mergeCell ref="B9:J9"/>
    <mergeCell ref="B32:B33"/>
    <mergeCell ref="B34:B35"/>
    <mergeCell ref="B11:C11"/>
    <mergeCell ref="B31:C31"/>
    <mergeCell ref="B16:B17"/>
    <mergeCell ref="B18:B19"/>
    <mergeCell ref="B20:B21"/>
    <mergeCell ref="B12:B13"/>
    <mergeCell ref="B14:B15"/>
    <mergeCell ref="B90:C90"/>
    <mergeCell ref="B74:B75"/>
    <mergeCell ref="B76:B77"/>
    <mergeCell ref="B78:B79"/>
    <mergeCell ref="B80:B81"/>
    <mergeCell ref="B86:C86"/>
    <mergeCell ref="B84:J84"/>
    <mergeCell ref="B89:C89"/>
    <mergeCell ref="B88:C88"/>
    <mergeCell ref="B111:I111"/>
    <mergeCell ref="B98:B101"/>
    <mergeCell ref="B102:C102"/>
    <mergeCell ref="B108:C108"/>
    <mergeCell ref="B91:C91"/>
    <mergeCell ref="B92:C92"/>
    <mergeCell ref="B93:C93"/>
    <mergeCell ref="B110:C110"/>
    <mergeCell ref="B109:C109"/>
    <mergeCell ref="B97:C97"/>
    <mergeCell ref="B95:J95"/>
    <mergeCell ref="B106:J106"/>
    <mergeCell ref="B40:B41"/>
    <mergeCell ref="B72:B73"/>
    <mergeCell ref="B42:B43"/>
    <mergeCell ref="B47:J47"/>
    <mergeCell ref="B49:C49"/>
    <mergeCell ref="B50:B51"/>
    <mergeCell ref="B52:B53"/>
    <mergeCell ref="B54:B55"/>
    <mergeCell ref="B56:B57"/>
    <mergeCell ref="B58:B59"/>
    <mergeCell ref="B60:B61"/>
    <mergeCell ref="B62:B63"/>
    <mergeCell ref="B44:B45"/>
    <mergeCell ref="B67:C67"/>
    <mergeCell ref="B68:B69"/>
    <mergeCell ref="B70:B71"/>
    <mergeCell ref="B22:B23"/>
    <mergeCell ref="B29:J29"/>
    <mergeCell ref="B26:B27"/>
    <mergeCell ref="B24:B25"/>
    <mergeCell ref="B38:B39"/>
  </mergeCells>
  <hyperlinks>
    <hyperlink ref="J2" location="'Αρχική σελίδα'!A1" display="Πίσω στην αρχική σελίδα" xr:uid="{E57A80E0-8D20-40DF-8019-5F0CF057F26A}"/>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L170"/>
  <sheetViews>
    <sheetView showGridLines="0" topLeftCell="A144" zoomScale="85" zoomScaleNormal="85" workbookViewId="0">
      <selection activeCell="F165" sqref="F165"/>
    </sheetView>
  </sheetViews>
  <sheetFormatPr defaultRowHeight="15" outlineLevelRow="1" x14ac:dyDescent="0.25"/>
  <cols>
    <col min="1" max="1" width="2.85546875" customWidth="1"/>
    <col min="2" max="2" width="28.28515625" customWidth="1"/>
    <col min="3" max="3" width="30" bestFit="1" customWidth="1"/>
    <col min="4" max="7" width="12.7109375" customWidth="1"/>
    <col min="8" max="8" width="17.42578125" customWidth="1"/>
    <col min="9" max="9" width="18.7109375" customWidth="1"/>
    <col min="10" max="11" width="12.7109375" customWidth="1"/>
    <col min="12" max="12" width="27.5703125" customWidth="1"/>
    <col min="13" max="13" width="9.140625" customWidth="1"/>
    <col min="14" max="14" width="20.85546875" customWidth="1"/>
    <col min="15" max="19" width="9.140625" customWidth="1"/>
  </cols>
  <sheetData>
    <row r="2" spans="2:12" ht="18.75" x14ac:dyDescent="0.3">
      <c r="B2" s="1" t="s">
        <v>1</v>
      </c>
      <c r="C2" s="353" t="str">
        <f>'Αρχική σελίδα'!C3</f>
        <v>HENGAS</v>
      </c>
      <c r="D2" s="353"/>
      <c r="E2" s="353"/>
      <c r="F2" s="353"/>
      <c r="G2" s="353"/>
      <c r="H2" s="353"/>
      <c r="J2" s="354" t="s">
        <v>213</v>
      </c>
      <c r="K2" s="354"/>
      <c r="L2" s="354"/>
    </row>
    <row r="3" spans="2:12" ht="18.75" x14ac:dyDescent="0.3">
      <c r="B3" s="2" t="s">
        <v>2</v>
      </c>
      <c r="C3" s="48">
        <f>'Αρχική σελίδα'!C4</f>
        <v>2023</v>
      </c>
      <c r="D3" s="48" t="s">
        <v>0</v>
      </c>
      <c r="E3" s="48">
        <f>C3+4</f>
        <v>2027</v>
      </c>
    </row>
    <row r="5" spans="2:12" ht="33" customHeight="1" x14ac:dyDescent="0.25">
      <c r="B5" s="355" t="s">
        <v>255</v>
      </c>
      <c r="C5" s="355"/>
      <c r="D5" s="355"/>
      <c r="E5" s="355"/>
      <c r="F5" s="355"/>
      <c r="G5" s="355"/>
      <c r="H5" s="355"/>
      <c r="I5" s="355"/>
    </row>
    <row r="6" spans="2:12" x14ac:dyDescent="0.25">
      <c r="B6" s="271"/>
      <c r="C6" s="271"/>
      <c r="D6" s="271"/>
      <c r="E6" s="271"/>
      <c r="F6" s="271"/>
      <c r="G6" s="271"/>
      <c r="H6" s="271"/>
    </row>
    <row r="7" spans="2:12" ht="18.75" x14ac:dyDescent="0.3">
      <c r="B7" s="112" t="s">
        <v>214</v>
      </c>
      <c r="C7" s="273"/>
      <c r="D7" s="273"/>
      <c r="E7" s="273"/>
      <c r="F7" s="273"/>
      <c r="G7" s="273"/>
      <c r="H7" s="273"/>
      <c r="I7" s="273"/>
      <c r="J7" s="273"/>
      <c r="K7" s="112"/>
    </row>
    <row r="8" spans="2:12" x14ac:dyDescent="0.25">
      <c r="B8" s="271"/>
      <c r="C8" s="271"/>
      <c r="D8" s="271"/>
      <c r="E8" s="271"/>
      <c r="F8" s="271"/>
      <c r="G8" s="271"/>
      <c r="H8" s="271"/>
    </row>
    <row r="9" spans="2:12" ht="15.75" x14ac:dyDescent="0.25">
      <c r="B9" s="463" t="s">
        <v>10</v>
      </c>
      <c r="C9" s="463"/>
      <c r="D9" s="463"/>
      <c r="E9" s="463"/>
      <c r="F9" s="463"/>
      <c r="G9" s="463"/>
      <c r="H9" s="463"/>
      <c r="I9" s="463"/>
      <c r="J9" s="463"/>
      <c r="K9" s="463"/>
    </row>
    <row r="10" spans="2:12" ht="4.9000000000000004" customHeight="1" outlineLevel="1" x14ac:dyDescent="0.25"/>
    <row r="11" spans="2:12" outlineLevel="1" x14ac:dyDescent="0.25">
      <c r="B11" s="453"/>
      <c r="C11" s="454"/>
      <c r="D11" s="9" t="s">
        <v>20</v>
      </c>
      <c r="E11" s="9">
        <f>$C$3-1</f>
        <v>2022</v>
      </c>
      <c r="F11" s="9">
        <f>$C$3</f>
        <v>2023</v>
      </c>
      <c r="G11" s="9">
        <f>$C$3+1</f>
        <v>2024</v>
      </c>
      <c r="H11" s="9">
        <f>$C$3+2</f>
        <v>2025</v>
      </c>
      <c r="I11" s="9">
        <f>$C$3+3</f>
        <v>2026</v>
      </c>
      <c r="J11" s="9">
        <f>$C$3+4</f>
        <v>2027</v>
      </c>
      <c r="K11" s="9" t="str">
        <f>F11&amp;" - "&amp;J11</f>
        <v>2023 - 2027</v>
      </c>
    </row>
    <row r="12" spans="2:12" outlineLevel="1" x14ac:dyDescent="0.25">
      <c r="B12" s="450" t="s">
        <v>3</v>
      </c>
      <c r="C12" s="5" t="s">
        <v>4</v>
      </c>
      <c r="D12" s="14" t="s">
        <v>21</v>
      </c>
      <c r="E12" s="173">
        <f>'Στοιχεία υφιστάμενου δικτύου'!J12</f>
        <v>2500</v>
      </c>
      <c r="F12" s="167">
        <f>'Ανάπτυξη δικτύου'!X30</f>
        <v>38848</v>
      </c>
      <c r="G12" s="167">
        <f>'Ανάπτυξη δικτύου'!AA30</f>
        <v>0</v>
      </c>
      <c r="H12" s="167">
        <f>'Ανάπτυξη δικτύου'!AD30</f>
        <v>0</v>
      </c>
      <c r="I12" s="167">
        <f>'Ανάπτυξη δικτύου'!AG30</f>
        <v>0</v>
      </c>
      <c r="J12" s="167">
        <f>'Ανάπτυξη δικτύου'!AJ30</f>
        <v>0</v>
      </c>
      <c r="K12" s="167">
        <f>SUM(F12:J12)</f>
        <v>38848</v>
      </c>
    </row>
    <row r="13" spans="2:12" outlineLevel="1" x14ac:dyDescent="0.25">
      <c r="B13" s="450"/>
      <c r="C13" s="7" t="s">
        <v>5</v>
      </c>
      <c r="D13" s="15" t="s">
        <v>21</v>
      </c>
      <c r="E13" s="174">
        <f>'Στοιχεία υφιστάμενου δικτύου'!J13</f>
        <v>2500</v>
      </c>
      <c r="F13" s="168">
        <f>E13+F12</f>
        <v>41348</v>
      </c>
      <c r="G13" s="168">
        <f>F13+G12</f>
        <v>41348</v>
      </c>
      <c r="H13" s="168">
        <f>G13+H12</f>
        <v>41348</v>
      </c>
      <c r="I13" s="168">
        <f>H13+I12</f>
        <v>41348</v>
      </c>
      <c r="J13" s="168">
        <f>I13+J12</f>
        <v>41348</v>
      </c>
      <c r="K13" s="32"/>
    </row>
    <row r="14" spans="2:12" outlineLevel="1" x14ac:dyDescent="0.25">
      <c r="B14" s="450" t="s">
        <v>23</v>
      </c>
      <c r="C14" s="5" t="s">
        <v>4</v>
      </c>
      <c r="D14" s="14" t="s">
        <v>21</v>
      </c>
      <c r="E14" s="173">
        <f>'Ανάπτυξη δικτύου'!R54</f>
        <v>31679.02</v>
      </c>
      <c r="F14" s="167">
        <f>'Ανάπτυξη δικτύου'!X54</f>
        <v>254650</v>
      </c>
      <c r="G14" s="167">
        <f>'Ανάπτυξη δικτύου'!AA54</f>
        <v>33000</v>
      </c>
      <c r="H14" s="167">
        <f>'Ανάπτυξη δικτύου'!AD54</f>
        <v>26500</v>
      </c>
      <c r="I14" s="167">
        <f>'Ανάπτυξη δικτύου'!AG54</f>
        <v>21500</v>
      </c>
      <c r="J14" s="167">
        <f>'Ανάπτυξη δικτύου'!AJ54</f>
        <v>19000</v>
      </c>
      <c r="K14" s="167">
        <f>SUM(F14:J14)</f>
        <v>354650</v>
      </c>
    </row>
    <row r="15" spans="2:12" outlineLevel="1" x14ac:dyDescent="0.25">
      <c r="B15" s="450"/>
      <c r="C15" s="7" t="s">
        <v>5</v>
      </c>
      <c r="D15" s="15" t="s">
        <v>21</v>
      </c>
      <c r="E15" s="174">
        <f>'Στοιχεία υφιστάμενου δικτύου'!J15</f>
        <v>51407.42</v>
      </c>
      <c r="F15" s="168">
        <f>E15+F14</f>
        <v>306057.42</v>
      </c>
      <c r="G15" s="168">
        <f>F15+G14</f>
        <v>339057.42</v>
      </c>
      <c r="H15" s="168">
        <f>G15+H14</f>
        <v>365557.42</v>
      </c>
      <c r="I15" s="168">
        <f>H15+I14</f>
        <v>387057.42</v>
      </c>
      <c r="J15" s="168">
        <f>I15+J14</f>
        <v>406057.42</v>
      </c>
      <c r="K15" s="32"/>
    </row>
    <row r="16" spans="2:12" outlineLevel="1" x14ac:dyDescent="0.25">
      <c r="B16" s="450" t="s">
        <v>165</v>
      </c>
      <c r="C16" s="5" t="s">
        <v>6</v>
      </c>
      <c r="D16" s="14" t="s">
        <v>22</v>
      </c>
      <c r="E16" s="173">
        <f>'Στοιχεία υφιστάμενου δικτύου'!J16</f>
        <v>674</v>
      </c>
      <c r="F16" s="167">
        <f>'Ανάπτυξη δικτύου'!X77</f>
        <v>3017</v>
      </c>
      <c r="G16" s="167">
        <f>'Ανάπτυξη δικτύου'!AA77</f>
        <v>7307</v>
      </c>
      <c r="H16" s="167">
        <f>'Ανάπτυξη δικτύου'!AD77</f>
        <v>5638</v>
      </c>
      <c r="I16" s="167">
        <f>'Ανάπτυξη δικτύου'!AG77</f>
        <v>3926</v>
      </c>
      <c r="J16" s="167">
        <f>'Ανάπτυξη δικτύου'!AJ77</f>
        <v>2079</v>
      </c>
      <c r="K16" s="167">
        <f>SUM(F16:J16)</f>
        <v>21967</v>
      </c>
    </row>
    <row r="17" spans="2:11" outlineLevel="1" x14ac:dyDescent="0.25">
      <c r="B17" s="450"/>
      <c r="C17" s="7" t="s">
        <v>7</v>
      </c>
      <c r="D17" s="15" t="s">
        <v>22</v>
      </c>
      <c r="E17" s="174">
        <f>'Στοιχεία υφιστάμενου δικτύου'!J17</f>
        <v>1246</v>
      </c>
      <c r="F17" s="168">
        <f>E17+F16</f>
        <v>4263</v>
      </c>
      <c r="G17" s="168">
        <f>F17+G16</f>
        <v>11570</v>
      </c>
      <c r="H17" s="168">
        <f>G17+H16</f>
        <v>17208</v>
      </c>
      <c r="I17" s="168">
        <f>H17+I16</f>
        <v>21134</v>
      </c>
      <c r="J17" s="168">
        <f>I17+J16</f>
        <v>23213</v>
      </c>
      <c r="K17" s="32"/>
    </row>
    <row r="18" spans="2:11" outlineLevel="1" x14ac:dyDescent="0.25">
      <c r="B18" s="450" t="s">
        <v>37</v>
      </c>
      <c r="C18" s="5" t="s">
        <v>6</v>
      </c>
      <c r="D18" s="14" t="s">
        <v>22</v>
      </c>
      <c r="E18" s="173">
        <f>'Στοιχεία υφιστάμενου δικτύου'!J18</f>
        <v>300</v>
      </c>
      <c r="F18" s="167">
        <f>'Ανάπτυξη δικτύου'!X100</f>
        <v>3017</v>
      </c>
      <c r="G18" s="167">
        <f>'Ανάπτυξη δικτύου'!AA100</f>
        <v>7307</v>
      </c>
      <c r="H18" s="167">
        <f>'Ανάπτυξη δικτύου'!AD100</f>
        <v>5638</v>
      </c>
      <c r="I18" s="167">
        <f>'Ανάπτυξη δικτύου'!AG100</f>
        <v>3926</v>
      </c>
      <c r="J18" s="167">
        <f>'Ανάπτυξη δικτύου'!AJ100</f>
        <v>2079</v>
      </c>
      <c r="K18" s="167">
        <f>SUM(F18:J18)</f>
        <v>21967</v>
      </c>
    </row>
    <row r="19" spans="2:11" outlineLevel="1" x14ac:dyDescent="0.25">
      <c r="B19" s="450"/>
      <c r="C19" s="7" t="s">
        <v>7</v>
      </c>
      <c r="D19" s="15" t="s">
        <v>22</v>
      </c>
      <c r="E19" s="174">
        <f>'Στοιχεία υφιστάμενου δικτύου'!J19</f>
        <v>331</v>
      </c>
      <c r="F19" s="168">
        <f>E19+F18</f>
        <v>3348</v>
      </c>
      <c r="G19" s="168">
        <f>F19+G18</f>
        <v>10655</v>
      </c>
      <c r="H19" s="168">
        <f>G19+H18</f>
        <v>16293</v>
      </c>
      <c r="I19" s="168">
        <f>H19+I18</f>
        <v>20219</v>
      </c>
      <c r="J19" s="168">
        <f>I19+J18</f>
        <v>22298</v>
      </c>
      <c r="K19" s="32"/>
    </row>
    <row r="20" spans="2:11" outlineLevel="1" x14ac:dyDescent="0.25">
      <c r="B20" s="458" t="s">
        <v>228</v>
      </c>
      <c r="C20" s="5" t="s">
        <v>6</v>
      </c>
      <c r="D20" s="14" t="s">
        <v>22</v>
      </c>
      <c r="E20" s="173">
        <f>'Στοιχεία υφιστάμενου δικτύου'!J20</f>
        <v>1</v>
      </c>
      <c r="F20" s="167">
        <f>'Ανάπτυξη δικτύου'!X123</f>
        <v>8</v>
      </c>
      <c r="G20" s="167">
        <f>'Ανάπτυξη δικτύου'!AA123</f>
        <v>10</v>
      </c>
      <c r="H20" s="167">
        <f>'Ανάπτυξη δικτύου'!AD123</f>
        <v>0</v>
      </c>
      <c r="I20" s="167">
        <f>'Ανάπτυξη δικτύου'!AG123</f>
        <v>0</v>
      </c>
      <c r="J20" s="167">
        <f>'Ανάπτυξη δικτύου'!AJ123</f>
        <v>0</v>
      </c>
      <c r="K20" s="167">
        <f>SUM(F20:J20)</f>
        <v>18</v>
      </c>
    </row>
    <row r="21" spans="2:11" outlineLevel="1" x14ac:dyDescent="0.25">
      <c r="B21" s="458"/>
      <c r="C21" s="7" t="s">
        <v>7</v>
      </c>
      <c r="D21" s="15" t="s">
        <v>22</v>
      </c>
      <c r="E21" s="174">
        <f>'Στοιχεία υφιστάμενου δικτύου'!J21</f>
        <v>1</v>
      </c>
      <c r="F21" s="168">
        <f>E21+F20</f>
        <v>9</v>
      </c>
      <c r="G21" s="168">
        <f>F21+G20</f>
        <v>19</v>
      </c>
      <c r="H21" s="168">
        <f>G21+H20</f>
        <v>19</v>
      </c>
      <c r="I21" s="168">
        <f>H21+I20</f>
        <v>19</v>
      </c>
      <c r="J21" s="168">
        <f>I21+J20</f>
        <v>19</v>
      </c>
      <c r="K21" s="32"/>
    </row>
    <row r="22" spans="2:11" outlineLevel="1" x14ac:dyDescent="0.25">
      <c r="B22" s="450" t="s">
        <v>24</v>
      </c>
      <c r="C22" s="5" t="s">
        <v>6</v>
      </c>
      <c r="D22" s="14" t="s">
        <v>22</v>
      </c>
      <c r="E22" s="173">
        <f>'Στοιχεία υφιστάμενου δικτύου'!J22</f>
        <v>2</v>
      </c>
      <c r="F22" s="167">
        <f>'Ανάπτυξη δικτύου'!X146</f>
        <v>7</v>
      </c>
      <c r="G22" s="167">
        <f>'Ανάπτυξη δικτύου'!AA146</f>
        <v>0</v>
      </c>
      <c r="H22" s="167">
        <f>'Ανάπτυξη δικτύου'!AD146</f>
        <v>0</v>
      </c>
      <c r="I22" s="167">
        <f>'Ανάπτυξη δικτύου'!AG146</f>
        <v>0</v>
      </c>
      <c r="J22" s="167">
        <f>'Ανάπτυξη δικτύου'!AJ146</f>
        <v>0</v>
      </c>
      <c r="K22" s="167">
        <f>SUM(F22:J22)</f>
        <v>7</v>
      </c>
    </row>
    <row r="23" spans="2:11" outlineLevel="1" x14ac:dyDescent="0.25">
      <c r="B23" s="450"/>
      <c r="C23" s="7" t="s">
        <v>7</v>
      </c>
      <c r="D23" s="15" t="s">
        <v>22</v>
      </c>
      <c r="E23" s="174">
        <f>'Στοιχεία υφιστάμενου δικτύου'!J23</f>
        <v>2</v>
      </c>
      <c r="F23" s="168">
        <f>E23+F22</f>
        <v>9</v>
      </c>
      <c r="G23" s="168">
        <f>F23+G22</f>
        <v>9</v>
      </c>
      <c r="H23" s="168">
        <f>G23+H22</f>
        <v>9</v>
      </c>
      <c r="I23" s="168">
        <f>H23+I22</f>
        <v>9</v>
      </c>
      <c r="J23" s="168">
        <f>I23+J22</f>
        <v>9</v>
      </c>
      <c r="K23" s="32"/>
    </row>
    <row r="24" spans="2:11" outlineLevel="1" x14ac:dyDescent="0.25">
      <c r="B24" s="450" t="s">
        <v>97</v>
      </c>
      <c r="C24" s="5" t="s">
        <v>6</v>
      </c>
      <c r="D24" s="14" t="s">
        <v>22</v>
      </c>
      <c r="E24" s="173">
        <f>'Στοιχεία υφιστάμενου δικτύου'!J24</f>
        <v>0</v>
      </c>
      <c r="F24" s="167">
        <f>'Ανάπτυξη δικτύου'!X169</f>
        <v>0</v>
      </c>
      <c r="G24" s="167">
        <f>'Ανάπτυξη δικτύου'!AA169</f>
        <v>0</v>
      </c>
      <c r="H24" s="167">
        <f>'Ανάπτυξη δικτύου'!AD169</f>
        <v>0</v>
      </c>
      <c r="I24" s="167">
        <f>'Ανάπτυξη δικτύου'!AG169</f>
        <v>0</v>
      </c>
      <c r="J24" s="167">
        <f>'Ανάπτυξη δικτύου'!AJ169</f>
        <v>0</v>
      </c>
      <c r="K24" s="167">
        <f>SUM(F24:J24)</f>
        <v>0</v>
      </c>
    </row>
    <row r="25" spans="2:11" outlineLevel="1" x14ac:dyDescent="0.25">
      <c r="B25" s="450"/>
      <c r="C25" s="7" t="s">
        <v>7</v>
      </c>
      <c r="D25" s="15" t="s">
        <v>22</v>
      </c>
      <c r="E25" s="174">
        <f>'Στοιχεία υφιστάμενου δικτύου'!J25</f>
        <v>0</v>
      </c>
      <c r="F25" s="168">
        <f>E25+F24</f>
        <v>0</v>
      </c>
      <c r="G25" s="168">
        <f>F25+G24</f>
        <v>0</v>
      </c>
      <c r="H25" s="168">
        <f>G25+H24</f>
        <v>0</v>
      </c>
      <c r="I25" s="168">
        <f>H25+I24</f>
        <v>0</v>
      </c>
      <c r="J25" s="168">
        <f>I25+J24</f>
        <v>0</v>
      </c>
      <c r="K25" s="32"/>
    </row>
    <row r="26" spans="2:11" outlineLevel="1" x14ac:dyDescent="0.25">
      <c r="B26" s="450" t="s">
        <v>25</v>
      </c>
      <c r="C26" s="5" t="s">
        <v>8</v>
      </c>
      <c r="D26" s="14" t="s">
        <v>22</v>
      </c>
      <c r="E26" s="173">
        <f>'Στοιχεία υφιστάμενου δικτύου'!J26</f>
        <v>0</v>
      </c>
      <c r="F26" s="167">
        <f>'Ανάπτυξη δικτύου'!X192</f>
        <v>0</v>
      </c>
      <c r="G26" s="167">
        <f>'Ανάπτυξη δικτύου'!AA192</f>
        <v>0</v>
      </c>
      <c r="H26" s="167">
        <f>'Ανάπτυξη δικτύου'!AD192</f>
        <v>0</v>
      </c>
      <c r="I26" s="167">
        <f>'Ανάπτυξη δικτύου'!AG192</f>
        <v>0</v>
      </c>
      <c r="J26" s="167">
        <f>'Ανάπτυξη δικτύου'!AJ192</f>
        <v>0</v>
      </c>
      <c r="K26" s="167">
        <f>SUM(F26:J26)</f>
        <v>0</v>
      </c>
    </row>
    <row r="27" spans="2:11" outlineLevel="1" x14ac:dyDescent="0.25">
      <c r="B27" s="450"/>
      <c r="C27" s="7" t="s">
        <v>9</v>
      </c>
      <c r="D27" s="15" t="s">
        <v>22</v>
      </c>
      <c r="E27" s="174">
        <f>'Στοιχεία υφιστάμενου δικτύου'!J27</f>
        <v>0</v>
      </c>
      <c r="F27" s="168">
        <f>E27+F26</f>
        <v>0</v>
      </c>
      <c r="G27" s="168">
        <f>F27+G26</f>
        <v>0</v>
      </c>
      <c r="H27" s="168">
        <f>G27+H26</f>
        <v>0</v>
      </c>
      <c r="I27" s="168">
        <f>H27+I26</f>
        <v>0</v>
      </c>
      <c r="J27" s="168">
        <f>I27+J26</f>
        <v>0</v>
      </c>
      <c r="K27" s="32"/>
    </row>
    <row r="28" spans="2:11" outlineLevel="1" x14ac:dyDescent="0.25">
      <c r="B28" s="31" t="s">
        <v>79</v>
      </c>
      <c r="C28" s="23"/>
      <c r="D28" s="24"/>
      <c r="F28" s="26"/>
      <c r="G28" s="26"/>
      <c r="H28" s="26"/>
      <c r="I28" s="26"/>
    </row>
    <row r="29" spans="2:11" x14ac:dyDescent="0.25">
      <c r="B29" s="22"/>
      <c r="C29" s="23"/>
      <c r="D29" s="24"/>
      <c r="E29" s="25"/>
      <c r="F29" s="26"/>
      <c r="G29" s="26"/>
      <c r="H29" s="26"/>
      <c r="I29" s="26"/>
    </row>
    <row r="30" spans="2:11" ht="15.75" x14ac:dyDescent="0.25">
      <c r="B30" s="463" t="s">
        <v>80</v>
      </c>
      <c r="C30" s="463"/>
      <c r="D30" s="463"/>
      <c r="E30" s="463"/>
      <c r="F30" s="463"/>
      <c r="G30" s="463"/>
      <c r="H30" s="463"/>
      <c r="I30" s="463"/>
      <c r="J30" s="463"/>
      <c r="K30" s="463"/>
    </row>
    <row r="31" spans="2:11" ht="4.9000000000000004" customHeight="1" outlineLevel="1" x14ac:dyDescent="0.25"/>
    <row r="32" spans="2:11" outlineLevel="1" x14ac:dyDescent="0.25">
      <c r="B32" s="453"/>
      <c r="C32" s="454"/>
      <c r="D32" s="9" t="s">
        <v>20</v>
      </c>
      <c r="E32" s="9">
        <f>$C$3-1</f>
        <v>2022</v>
      </c>
      <c r="F32" s="9">
        <f>$C$3</f>
        <v>2023</v>
      </c>
      <c r="G32" s="9">
        <f>$C$3+1</f>
        <v>2024</v>
      </c>
      <c r="H32" s="9">
        <f>$C$3+2</f>
        <v>2025</v>
      </c>
      <c r="I32" s="9">
        <f>$C$3+3</f>
        <v>2026</v>
      </c>
      <c r="J32" s="9">
        <f>$C$3+4</f>
        <v>2027</v>
      </c>
      <c r="K32" s="9" t="str">
        <f>F32&amp;" - "&amp;J32</f>
        <v>2023 - 2027</v>
      </c>
    </row>
    <row r="33" spans="2:11" outlineLevel="1" x14ac:dyDescent="0.25">
      <c r="B33" s="451" t="s">
        <v>172</v>
      </c>
      <c r="C33" s="5" t="s">
        <v>8</v>
      </c>
      <c r="D33" s="14" t="s">
        <v>22</v>
      </c>
      <c r="E33" s="173">
        <f>'Στοιχεία υφιστάμενου δικτύου'!J32</f>
        <v>2427</v>
      </c>
      <c r="F33" s="167">
        <f>F35+F39+F41+F43+F45</f>
        <v>3017</v>
      </c>
      <c r="G33" s="167">
        <f t="shared" ref="G33:J33" si="0">G35+G39+G41+G43+G45</f>
        <v>7307</v>
      </c>
      <c r="H33" s="167">
        <f t="shared" si="0"/>
        <v>5638</v>
      </c>
      <c r="I33" s="167">
        <f t="shared" si="0"/>
        <v>3926</v>
      </c>
      <c r="J33" s="167">
        <f t="shared" si="0"/>
        <v>2151</v>
      </c>
      <c r="K33" s="167">
        <f>SUM(F33:J33)</f>
        <v>22039</v>
      </c>
    </row>
    <row r="34" spans="2:11" outlineLevel="1" x14ac:dyDescent="0.25">
      <c r="B34" s="452"/>
      <c r="C34" s="7" t="s">
        <v>9</v>
      </c>
      <c r="D34" s="15" t="s">
        <v>22</v>
      </c>
      <c r="E34" s="174">
        <f>'Στοιχεία υφιστάμενου δικτύου'!J33</f>
        <v>2427</v>
      </c>
      <c r="F34" s="168">
        <f>F33</f>
        <v>3017</v>
      </c>
      <c r="G34" s="168">
        <f>G33+F34</f>
        <v>10324</v>
      </c>
      <c r="H34" s="168">
        <f t="shared" ref="H34:J34" si="1">H33+G34</f>
        <v>15962</v>
      </c>
      <c r="I34" s="168">
        <f t="shared" si="1"/>
        <v>19888</v>
      </c>
      <c r="J34" s="168">
        <f t="shared" si="1"/>
        <v>22039</v>
      </c>
      <c r="K34" s="32"/>
    </row>
    <row r="35" spans="2:11" outlineLevel="1" x14ac:dyDescent="0.25">
      <c r="B35" s="451" t="s">
        <v>203</v>
      </c>
      <c r="C35" s="5" t="s">
        <v>8</v>
      </c>
      <c r="D35" s="14" t="s">
        <v>22</v>
      </c>
      <c r="E35" s="173">
        <f>'Στοιχεία υφιστάμενου δικτύου'!J34</f>
        <v>1184</v>
      </c>
      <c r="F35" s="167">
        <f>'Ενεργές συνδέσεις'!X54</f>
        <v>2038</v>
      </c>
      <c r="G35" s="167">
        <f>'Ενεργές συνδέσεις'!AC54</f>
        <v>6368</v>
      </c>
      <c r="H35" s="167">
        <f>'Ενεργές συνδέσεις'!AH54</f>
        <v>5279</v>
      </c>
      <c r="I35" s="167">
        <f>'Ενεργές συνδέσεις'!AM54</f>
        <v>3734</v>
      </c>
      <c r="J35" s="167">
        <f>'Ενεργές συνδέσεις'!AR54</f>
        <v>1971</v>
      </c>
      <c r="K35" s="167">
        <f>SUM(F35:J35)</f>
        <v>19390</v>
      </c>
    </row>
    <row r="36" spans="2:11" outlineLevel="1" x14ac:dyDescent="0.25">
      <c r="B36" s="452"/>
      <c r="C36" s="7" t="s">
        <v>9</v>
      </c>
      <c r="D36" s="15" t="s">
        <v>22</v>
      </c>
      <c r="E36" s="174">
        <f>'Στοιχεία υφιστάμενου δικτύου'!J35</f>
        <v>1184</v>
      </c>
      <c r="F36" s="168">
        <f>E36+F35</f>
        <v>3222</v>
      </c>
      <c r="G36" s="168">
        <f>F36+G35</f>
        <v>9590</v>
      </c>
      <c r="H36" s="168">
        <f t="shared" ref="H36" si="2">G36+H35</f>
        <v>14869</v>
      </c>
      <c r="I36" s="168">
        <f t="shared" ref="I36" si="3">H36+I35</f>
        <v>18603</v>
      </c>
      <c r="J36" s="168">
        <f>I36+J35</f>
        <v>20574</v>
      </c>
      <c r="K36" s="32"/>
    </row>
    <row r="37" spans="2:11" outlineLevel="1" x14ac:dyDescent="0.25">
      <c r="B37" s="451" t="s">
        <v>205</v>
      </c>
      <c r="C37" s="5" t="s">
        <v>8</v>
      </c>
      <c r="D37" s="14" t="s">
        <v>22</v>
      </c>
      <c r="E37" s="173">
        <f>'Στοιχεία υφιστάμενου δικτύου'!J36</f>
        <v>1184</v>
      </c>
      <c r="F37" s="167">
        <f>'Ενεργές συνδέσεις'!X77</f>
        <v>2038</v>
      </c>
      <c r="G37" s="167">
        <f>'Ενεργές συνδέσεις'!AC77</f>
        <v>6368</v>
      </c>
      <c r="H37" s="167">
        <f>'Ενεργές συνδέσεις'!AH77</f>
        <v>5279</v>
      </c>
      <c r="I37" s="167">
        <f>'Ενεργές συνδέσεις'!AM77</f>
        <v>3734</v>
      </c>
      <c r="J37" s="167">
        <f>'Ενεργές συνδέσεις'!AR77</f>
        <v>1971</v>
      </c>
      <c r="K37" s="167">
        <f>SUM(F37:J37)</f>
        <v>19390</v>
      </c>
    </row>
    <row r="38" spans="2:11" outlineLevel="1" x14ac:dyDescent="0.25">
      <c r="B38" s="452"/>
      <c r="C38" s="7" t="s">
        <v>9</v>
      </c>
      <c r="D38" s="15" t="s">
        <v>22</v>
      </c>
      <c r="E38" s="174">
        <f>'Στοιχεία υφιστάμενου δικτύου'!J37</f>
        <v>1184</v>
      </c>
      <c r="F38" s="168">
        <f>E38+F37</f>
        <v>3222</v>
      </c>
      <c r="G38" s="168">
        <f>F38+G37</f>
        <v>9590</v>
      </c>
      <c r="H38" s="168">
        <f>G38+H37</f>
        <v>14869</v>
      </c>
      <c r="I38" s="168">
        <f>H38+I37</f>
        <v>18603</v>
      </c>
      <c r="J38" s="168">
        <f>I38+J37</f>
        <v>20574</v>
      </c>
      <c r="K38" s="32"/>
    </row>
    <row r="39" spans="2:11" outlineLevel="1" x14ac:dyDescent="0.25">
      <c r="B39" s="451" t="s">
        <v>206</v>
      </c>
      <c r="C39" s="5" t="s">
        <v>8</v>
      </c>
      <c r="D39" s="14" t="s">
        <v>22</v>
      </c>
      <c r="E39" s="173">
        <f>'Στοιχεία υφιστάμενου δικτύου'!J38</f>
        <v>59</v>
      </c>
      <c r="F39" s="167">
        <f>'Ενεργές συνδέσεις'!X100</f>
        <v>813</v>
      </c>
      <c r="G39" s="167">
        <f>'Ενεργές συνδέσεις'!AC100</f>
        <v>789</v>
      </c>
      <c r="H39" s="167">
        <f>'Ενεργές συνδέσεις'!AH100</f>
        <v>295</v>
      </c>
      <c r="I39" s="167">
        <f>'Ενεργές συνδέσεις'!AM100</f>
        <v>150</v>
      </c>
      <c r="J39" s="167">
        <f>'Ενεργές συνδέσεις'!AR100</f>
        <v>150</v>
      </c>
      <c r="K39" s="167">
        <f>SUM(F39:J39)</f>
        <v>2197</v>
      </c>
    </row>
    <row r="40" spans="2:11" outlineLevel="1" x14ac:dyDescent="0.25">
      <c r="B40" s="452"/>
      <c r="C40" s="7" t="s">
        <v>9</v>
      </c>
      <c r="D40" s="15" t="s">
        <v>22</v>
      </c>
      <c r="E40" s="174">
        <f>'Στοιχεία υφιστάμενου δικτύου'!J39</f>
        <v>59</v>
      </c>
      <c r="F40" s="168">
        <f>E40+F39</f>
        <v>872</v>
      </c>
      <c r="G40" s="168">
        <f>F40+G39</f>
        <v>1661</v>
      </c>
      <c r="H40" s="168">
        <f>G40+H39</f>
        <v>1956</v>
      </c>
      <c r="I40" s="168">
        <f>H40+I39</f>
        <v>2106</v>
      </c>
      <c r="J40" s="168">
        <f>I40+J39</f>
        <v>2256</v>
      </c>
      <c r="K40" s="32"/>
    </row>
    <row r="41" spans="2:11" outlineLevel="1" x14ac:dyDescent="0.25">
      <c r="B41" s="451" t="s">
        <v>207</v>
      </c>
      <c r="C41" s="5" t="s">
        <v>8</v>
      </c>
      <c r="D41" s="14" t="s">
        <v>22</v>
      </c>
      <c r="E41" s="173">
        <f>'Στοιχεία υφιστάμενου δικτύου'!J40</f>
        <v>0</v>
      </c>
      <c r="F41" s="167">
        <f>'Ενεργές συνδέσεις'!X123</f>
        <v>160</v>
      </c>
      <c r="G41" s="167">
        <f>'Ενεργές συνδέσεις'!AC123</f>
        <v>132</v>
      </c>
      <c r="H41" s="167">
        <f>'Ενεργές συνδέσεις'!AH123</f>
        <v>52</v>
      </c>
      <c r="I41" s="167">
        <f>'Ενεργές συνδέσεις'!AM123</f>
        <v>33</v>
      </c>
      <c r="J41" s="167">
        <f>'Ενεργές συνδέσεις'!AR123</f>
        <v>26</v>
      </c>
      <c r="K41" s="167">
        <f>SUM(F41:J41)</f>
        <v>403</v>
      </c>
    </row>
    <row r="42" spans="2:11" outlineLevel="1" x14ac:dyDescent="0.25">
      <c r="B42" s="452"/>
      <c r="C42" s="7" t="s">
        <v>9</v>
      </c>
      <c r="D42" s="15" t="s">
        <v>22</v>
      </c>
      <c r="E42" s="174">
        <f>'Στοιχεία υφιστάμενου δικτύου'!J41</f>
        <v>0</v>
      </c>
      <c r="F42" s="168">
        <f>E42+F41</f>
        <v>160</v>
      </c>
      <c r="G42" s="168">
        <f>F42+G41</f>
        <v>292</v>
      </c>
      <c r="H42" s="168">
        <f>G42+H41</f>
        <v>344</v>
      </c>
      <c r="I42" s="168">
        <f>H42+I41</f>
        <v>377</v>
      </c>
      <c r="J42" s="168">
        <f>I42+J41</f>
        <v>403</v>
      </c>
      <c r="K42" s="32"/>
    </row>
    <row r="43" spans="2:11" outlineLevel="1" x14ac:dyDescent="0.25">
      <c r="B43" s="451" t="s">
        <v>13</v>
      </c>
      <c r="C43" s="5" t="s">
        <v>8</v>
      </c>
      <c r="D43" s="14" t="s">
        <v>22</v>
      </c>
      <c r="E43" s="173">
        <f>'Στοιχεία υφιστάμενου δικτύου'!J42</f>
        <v>0</v>
      </c>
      <c r="F43" s="167">
        <f>'Ενεργές συνδέσεις'!X146</f>
        <v>2</v>
      </c>
      <c r="G43" s="167">
        <f>'Ενεργές συνδέσεις'!AC146</f>
        <v>14</v>
      </c>
      <c r="H43" s="167">
        <f>'Ενεργές συνδέσεις'!AH146</f>
        <v>12</v>
      </c>
      <c r="I43" s="167">
        <f>'Ενεργές συνδέσεις'!AM146</f>
        <v>9</v>
      </c>
      <c r="J43" s="167">
        <f>'Ενεργές συνδέσεις'!AR146</f>
        <v>4</v>
      </c>
      <c r="K43" s="167">
        <f>SUM(F43:J43)</f>
        <v>41</v>
      </c>
    </row>
    <row r="44" spans="2:11" outlineLevel="1" x14ac:dyDescent="0.25">
      <c r="B44" s="452"/>
      <c r="C44" s="7" t="s">
        <v>9</v>
      </c>
      <c r="D44" s="15" t="s">
        <v>22</v>
      </c>
      <c r="E44" s="174">
        <f>'Στοιχεία υφιστάμενου δικτύου'!J43</f>
        <v>0</v>
      </c>
      <c r="F44" s="168">
        <f>E44+F43</f>
        <v>2</v>
      </c>
      <c r="G44" s="168">
        <f>F44+G43</f>
        <v>16</v>
      </c>
      <c r="H44" s="168">
        <f>G44+H43</f>
        <v>28</v>
      </c>
      <c r="I44" s="168">
        <f>H44+I43</f>
        <v>37</v>
      </c>
      <c r="J44" s="168">
        <f>I44+J43</f>
        <v>41</v>
      </c>
      <c r="K44" s="32"/>
    </row>
    <row r="45" spans="2:11" outlineLevel="1" x14ac:dyDescent="0.25">
      <c r="B45" s="451" t="s">
        <v>12</v>
      </c>
      <c r="C45" s="5" t="s">
        <v>8</v>
      </c>
      <c r="D45" s="14" t="s">
        <v>22</v>
      </c>
      <c r="E45" s="173">
        <f>'Στοιχεία υφιστάμενου δικτύου'!J44</f>
        <v>0</v>
      </c>
      <c r="F45" s="167">
        <f>'Ενεργές συνδέσεις'!X169</f>
        <v>4</v>
      </c>
      <c r="G45" s="167">
        <f>'Ενεργές συνδέσεις'!AC169</f>
        <v>4</v>
      </c>
      <c r="H45" s="167">
        <f>'Ενεργές συνδέσεις'!AH169</f>
        <v>0</v>
      </c>
      <c r="I45" s="167">
        <f>'Ενεργές συνδέσεις'!AM169</f>
        <v>0</v>
      </c>
      <c r="J45" s="167">
        <f>'Ενεργές συνδέσεις'!AR169</f>
        <v>0</v>
      </c>
      <c r="K45" s="167">
        <f>SUM(F45:J45)</f>
        <v>8</v>
      </c>
    </row>
    <row r="46" spans="2:11" outlineLevel="1" x14ac:dyDescent="0.25">
      <c r="B46" s="452"/>
      <c r="C46" s="7" t="s">
        <v>9</v>
      </c>
      <c r="D46" s="15" t="s">
        <v>22</v>
      </c>
      <c r="E46" s="174">
        <f>'Στοιχεία υφιστάμενου δικτύου'!J45</f>
        <v>0</v>
      </c>
      <c r="F46" s="168">
        <f>E46+F45</f>
        <v>4</v>
      </c>
      <c r="G46" s="168">
        <f>F46+G45</f>
        <v>8</v>
      </c>
      <c r="H46" s="168">
        <f>G46+H45</f>
        <v>8</v>
      </c>
      <c r="I46" s="168">
        <f>H46+I45</f>
        <v>8</v>
      </c>
      <c r="J46" s="168">
        <f>I46+J45</f>
        <v>8</v>
      </c>
      <c r="K46" s="32"/>
    </row>
    <row r="48" spans="2:11" ht="15.75" x14ac:dyDescent="0.25">
      <c r="B48" s="463" t="s">
        <v>235</v>
      </c>
      <c r="C48" s="463"/>
      <c r="D48" s="463"/>
      <c r="E48" s="463"/>
      <c r="F48" s="463"/>
      <c r="G48" s="463"/>
      <c r="H48" s="463"/>
      <c r="I48" s="463"/>
      <c r="J48" s="463"/>
      <c r="K48" s="463"/>
    </row>
    <row r="49" spans="2:11" ht="4.9000000000000004" customHeight="1" outlineLevel="1" x14ac:dyDescent="0.25"/>
    <row r="50" spans="2:11" outlineLevel="1" x14ac:dyDescent="0.25">
      <c r="B50" s="453"/>
      <c r="C50" s="454"/>
      <c r="D50" s="9" t="s">
        <v>20</v>
      </c>
      <c r="E50" s="9">
        <f>$C$3-1</f>
        <v>2022</v>
      </c>
      <c r="F50" s="9">
        <f>$C$3</f>
        <v>2023</v>
      </c>
      <c r="G50" s="9">
        <f>$C$3+1</f>
        <v>2024</v>
      </c>
      <c r="H50" s="9">
        <f>$C$3+2</f>
        <v>2025</v>
      </c>
      <c r="I50" s="9">
        <f>$C$3+3</f>
        <v>2026</v>
      </c>
      <c r="J50" s="9">
        <f>$C$3+4</f>
        <v>2027</v>
      </c>
      <c r="K50" s="9" t="str">
        <f>F50&amp;" - "&amp;J50</f>
        <v>2023 - 2027</v>
      </c>
    </row>
    <row r="51" spans="2:11" outlineLevel="1" x14ac:dyDescent="0.25">
      <c r="B51" s="451" t="s">
        <v>172</v>
      </c>
      <c r="C51" s="5" t="s">
        <v>8</v>
      </c>
      <c r="D51" s="14" t="s">
        <v>22</v>
      </c>
      <c r="E51" s="173">
        <f>'Στοιχεία υφιστάμενου δικτύου'!J50</f>
        <v>2427</v>
      </c>
      <c r="F51" s="167">
        <f>F53+F57+F59+F61+F63</f>
        <v>3017</v>
      </c>
      <c r="G51" s="167">
        <f t="shared" ref="G51:J51" si="4">G53+G57+G59+G61+G63</f>
        <v>7307</v>
      </c>
      <c r="H51" s="167">
        <f t="shared" si="4"/>
        <v>5638</v>
      </c>
      <c r="I51" s="167">
        <f t="shared" si="4"/>
        <v>3926</v>
      </c>
      <c r="J51" s="167">
        <f t="shared" si="4"/>
        <v>2089</v>
      </c>
      <c r="K51" s="167">
        <f>SUM(F51:J51)</f>
        <v>21977</v>
      </c>
    </row>
    <row r="52" spans="2:11" outlineLevel="1" x14ac:dyDescent="0.25">
      <c r="B52" s="452"/>
      <c r="C52" s="7" t="s">
        <v>9</v>
      </c>
      <c r="D52" s="15" t="s">
        <v>22</v>
      </c>
      <c r="E52" s="174">
        <f>'Στοιχεία υφιστάμενου δικτύου'!J51</f>
        <v>2427</v>
      </c>
      <c r="F52" s="168">
        <f>F51</f>
        <v>3017</v>
      </c>
      <c r="G52" s="168">
        <f>G51+F52</f>
        <v>10324</v>
      </c>
      <c r="H52" s="168">
        <f t="shared" ref="H52:J52" si="5">H51+G52</f>
        <v>15962</v>
      </c>
      <c r="I52" s="168">
        <f t="shared" si="5"/>
        <v>19888</v>
      </c>
      <c r="J52" s="168">
        <f t="shared" si="5"/>
        <v>21977</v>
      </c>
      <c r="K52" s="32"/>
    </row>
    <row r="53" spans="2:11" outlineLevel="1" x14ac:dyDescent="0.25">
      <c r="B53" s="451" t="s">
        <v>203</v>
      </c>
      <c r="C53" s="5" t="s">
        <v>8</v>
      </c>
      <c r="D53" s="14" t="s">
        <v>22</v>
      </c>
      <c r="E53" s="173">
        <f>'Στοιχεία υφιστάμενου δικτύου'!J52</f>
        <v>1184</v>
      </c>
      <c r="F53" s="167">
        <f>'Ενεργοί μετρητές'!X54</f>
        <v>2038</v>
      </c>
      <c r="G53" s="167">
        <f>'Ενεργοί μετρητές'!AC54</f>
        <v>6368</v>
      </c>
      <c r="H53" s="167">
        <f>'Ενεργοί μετρητές'!AH54</f>
        <v>5279</v>
      </c>
      <c r="I53" s="167">
        <f>'Ενεργοί μετρητές'!AM54</f>
        <v>3734</v>
      </c>
      <c r="J53" s="167">
        <f>'Ενεργοί μετρητές'!AR54</f>
        <v>1909</v>
      </c>
      <c r="K53" s="167">
        <f>SUM(F53:J53)</f>
        <v>19328</v>
      </c>
    </row>
    <row r="54" spans="2:11" outlineLevel="1" x14ac:dyDescent="0.25">
      <c r="B54" s="452"/>
      <c r="C54" s="7" t="s">
        <v>9</v>
      </c>
      <c r="D54" s="15" t="s">
        <v>22</v>
      </c>
      <c r="E54" s="174">
        <f>'Στοιχεία υφιστάμενου δικτύου'!J53</f>
        <v>1184</v>
      </c>
      <c r="F54" s="168">
        <f>E54+F53</f>
        <v>3222</v>
      </c>
      <c r="G54" s="168">
        <f>F54+G53</f>
        <v>9590</v>
      </c>
      <c r="H54" s="168">
        <f t="shared" ref="H54:J54" si="6">G54+H53</f>
        <v>14869</v>
      </c>
      <c r="I54" s="168">
        <f t="shared" si="6"/>
        <v>18603</v>
      </c>
      <c r="J54" s="168">
        <f t="shared" si="6"/>
        <v>20512</v>
      </c>
      <c r="K54" s="32"/>
    </row>
    <row r="55" spans="2:11" outlineLevel="1" x14ac:dyDescent="0.25">
      <c r="B55" s="451" t="s">
        <v>205</v>
      </c>
      <c r="C55" s="5" t="s">
        <v>8</v>
      </c>
      <c r="D55" s="14" t="s">
        <v>22</v>
      </c>
      <c r="E55" s="173">
        <f>'Στοιχεία υφιστάμενου δικτύου'!J54</f>
        <v>1184</v>
      </c>
      <c r="F55" s="167">
        <f>'Ενεργοί μετρητές'!X77</f>
        <v>2038</v>
      </c>
      <c r="G55" s="167">
        <f>'Ενεργοί μετρητές'!AC77</f>
        <v>6368</v>
      </c>
      <c r="H55" s="167">
        <f>'Ενεργοί μετρητές'!AH77</f>
        <v>5279</v>
      </c>
      <c r="I55" s="167">
        <f>'Ενεργοί μετρητές'!AM77</f>
        <v>3734</v>
      </c>
      <c r="J55" s="167">
        <f>'Ενεργοί μετρητές'!AR77</f>
        <v>1909</v>
      </c>
      <c r="K55" s="167">
        <f>SUM(F55:J55)</f>
        <v>19328</v>
      </c>
    </row>
    <row r="56" spans="2:11" outlineLevel="1" x14ac:dyDescent="0.25">
      <c r="B56" s="452"/>
      <c r="C56" s="7" t="s">
        <v>9</v>
      </c>
      <c r="D56" s="15" t="s">
        <v>22</v>
      </c>
      <c r="E56" s="174">
        <f>'Στοιχεία υφιστάμενου δικτύου'!J55</f>
        <v>1184</v>
      </c>
      <c r="F56" s="168">
        <f>E56+F55</f>
        <v>3222</v>
      </c>
      <c r="G56" s="168">
        <f>F56+G55</f>
        <v>9590</v>
      </c>
      <c r="H56" s="168">
        <f t="shared" ref="H56:J56" si="7">G56+H55</f>
        <v>14869</v>
      </c>
      <c r="I56" s="168">
        <f t="shared" si="7"/>
        <v>18603</v>
      </c>
      <c r="J56" s="168">
        <f t="shared" si="7"/>
        <v>20512</v>
      </c>
      <c r="K56" s="32"/>
    </row>
    <row r="57" spans="2:11" outlineLevel="1" x14ac:dyDescent="0.25">
      <c r="B57" s="451" t="s">
        <v>206</v>
      </c>
      <c r="C57" s="5" t="s">
        <v>8</v>
      </c>
      <c r="D57" s="14" t="s">
        <v>22</v>
      </c>
      <c r="E57" s="173">
        <f>'Στοιχεία υφιστάμενου δικτύου'!J56</f>
        <v>59</v>
      </c>
      <c r="F57" s="167">
        <f>'Ενεργοί μετρητές'!X100</f>
        <v>813</v>
      </c>
      <c r="G57" s="167">
        <f>'Ενεργοί μετρητές'!AC100</f>
        <v>789</v>
      </c>
      <c r="H57" s="167">
        <f>'Ενεργοί μετρητές'!AH100</f>
        <v>295</v>
      </c>
      <c r="I57" s="167">
        <f>'Ενεργοί μετρητές'!AM100</f>
        <v>150</v>
      </c>
      <c r="J57" s="167">
        <f>'Ενεργοί μετρητές'!AR100</f>
        <v>150</v>
      </c>
      <c r="K57" s="167">
        <f>SUM(F57:J57)</f>
        <v>2197</v>
      </c>
    </row>
    <row r="58" spans="2:11" outlineLevel="1" x14ac:dyDescent="0.25">
      <c r="B58" s="452"/>
      <c r="C58" s="7" t="s">
        <v>9</v>
      </c>
      <c r="D58" s="15" t="s">
        <v>22</v>
      </c>
      <c r="E58" s="174">
        <f>'Στοιχεία υφιστάμενου δικτύου'!J57</f>
        <v>59</v>
      </c>
      <c r="F58" s="168">
        <f>E58+F57</f>
        <v>872</v>
      </c>
      <c r="G58" s="168">
        <f>F58+G57</f>
        <v>1661</v>
      </c>
      <c r="H58" s="168">
        <f t="shared" ref="H58:J58" si="8">G58+H57</f>
        <v>1956</v>
      </c>
      <c r="I58" s="168">
        <f t="shared" si="8"/>
        <v>2106</v>
      </c>
      <c r="J58" s="168">
        <f t="shared" si="8"/>
        <v>2256</v>
      </c>
      <c r="K58" s="32"/>
    </row>
    <row r="59" spans="2:11" outlineLevel="1" x14ac:dyDescent="0.25">
      <c r="B59" s="451" t="s">
        <v>207</v>
      </c>
      <c r="C59" s="5" t="s">
        <v>8</v>
      </c>
      <c r="D59" s="14" t="s">
        <v>22</v>
      </c>
      <c r="E59" s="173">
        <f>'Στοιχεία υφιστάμενου δικτύου'!J58</f>
        <v>0</v>
      </c>
      <c r="F59" s="167">
        <f>'Ενεργοί μετρητές'!X123</f>
        <v>160</v>
      </c>
      <c r="G59" s="167">
        <f>'Ενεργοί μετρητές'!AC123</f>
        <v>132</v>
      </c>
      <c r="H59" s="167">
        <f>'Ενεργοί μετρητές'!AH123</f>
        <v>52</v>
      </c>
      <c r="I59" s="167">
        <f>'Ενεργοί μετρητές'!AM123</f>
        <v>33</v>
      </c>
      <c r="J59" s="167">
        <f>'Ενεργοί μετρητές'!AR123</f>
        <v>26</v>
      </c>
      <c r="K59" s="167">
        <f>SUM(F59:J59)</f>
        <v>403</v>
      </c>
    </row>
    <row r="60" spans="2:11" outlineLevel="1" x14ac:dyDescent="0.25">
      <c r="B60" s="452"/>
      <c r="C60" s="7" t="s">
        <v>9</v>
      </c>
      <c r="D60" s="15" t="s">
        <v>22</v>
      </c>
      <c r="E60" s="174">
        <f>'Στοιχεία υφιστάμενου δικτύου'!J59</f>
        <v>0</v>
      </c>
      <c r="F60" s="168">
        <f>E60+F59</f>
        <v>160</v>
      </c>
      <c r="G60" s="168">
        <f>F60+G59</f>
        <v>292</v>
      </c>
      <c r="H60" s="168">
        <f t="shared" ref="H60:J60" si="9">G60+H59</f>
        <v>344</v>
      </c>
      <c r="I60" s="168">
        <f t="shared" si="9"/>
        <v>377</v>
      </c>
      <c r="J60" s="168">
        <f t="shared" si="9"/>
        <v>403</v>
      </c>
      <c r="K60" s="32"/>
    </row>
    <row r="61" spans="2:11" outlineLevel="1" x14ac:dyDescent="0.25">
      <c r="B61" s="451" t="s">
        <v>13</v>
      </c>
      <c r="C61" s="5" t="s">
        <v>8</v>
      </c>
      <c r="D61" s="14" t="s">
        <v>22</v>
      </c>
      <c r="E61" s="173">
        <f>'Στοιχεία υφιστάμενου δικτύου'!J60</f>
        <v>0</v>
      </c>
      <c r="F61" s="167">
        <f>'Ενεργοί μετρητές'!X146</f>
        <v>2</v>
      </c>
      <c r="G61" s="167">
        <f>'Ενεργοί μετρητές'!AC146</f>
        <v>14</v>
      </c>
      <c r="H61" s="167">
        <f>'Ενεργοί μετρητές'!AH146</f>
        <v>12</v>
      </c>
      <c r="I61" s="167">
        <f>'Ενεργοί μετρητές'!AM146</f>
        <v>9</v>
      </c>
      <c r="J61" s="167">
        <f>'Ενεργοί μετρητές'!AR146</f>
        <v>4</v>
      </c>
      <c r="K61" s="167">
        <f>SUM(F61:J61)</f>
        <v>41</v>
      </c>
    </row>
    <row r="62" spans="2:11" outlineLevel="1" x14ac:dyDescent="0.25">
      <c r="B62" s="452"/>
      <c r="C62" s="7" t="s">
        <v>9</v>
      </c>
      <c r="D62" s="15" t="s">
        <v>22</v>
      </c>
      <c r="E62" s="174">
        <f>'Στοιχεία υφιστάμενου δικτύου'!J61</f>
        <v>0</v>
      </c>
      <c r="F62" s="168">
        <f>E62+F61</f>
        <v>2</v>
      </c>
      <c r="G62" s="168">
        <f>F62+G61</f>
        <v>16</v>
      </c>
      <c r="H62" s="168">
        <f t="shared" ref="H62:J62" si="10">G62+H61</f>
        <v>28</v>
      </c>
      <c r="I62" s="168">
        <f t="shared" si="10"/>
        <v>37</v>
      </c>
      <c r="J62" s="168">
        <f t="shared" si="10"/>
        <v>41</v>
      </c>
      <c r="K62" s="32"/>
    </row>
    <row r="63" spans="2:11" outlineLevel="1" x14ac:dyDescent="0.25">
      <c r="B63" s="451" t="s">
        <v>12</v>
      </c>
      <c r="C63" s="5" t="s">
        <v>8</v>
      </c>
      <c r="D63" s="14" t="s">
        <v>22</v>
      </c>
      <c r="E63" s="173">
        <f>'Στοιχεία υφιστάμενου δικτύου'!J62</f>
        <v>0</v>
      </c>
      <c r="F63" s="167">
        <f>'Ενεργοί μετρητές'!X169</f>
        <v>4</v>
      </c>
      <c r="G63" s="167">
        <f>'Ενεργοί μετρητές'!AC169</f>
        <v>4</v>
      </c>
      <c r="H63" s="167">
        <f>'Ενεργοί μετρητές'!AH169</f>
        <v>0</v>
      </c>
      <c r="I63" s="167">
        <f>'Ενεργοί μετρητές'!AM169</f>
        <v>0</v>
      </c>
      <c r="J63" s="167">
        <f>'Ενεργοί μετρητές'!AR169</f>
        <v>0</v>
      </c>
      <c r="K63" s="167">
        <f>SUM(F63:J63)</f>
        <v>8</v>
      </c>
    </row>
    <row r="64" spans="2:11" outlineLevel="1" x14ac:dyDescent="0.25">
      <c r="B64" s="452"/>
      <c r="C64" s="7" t="s">
        <v>9</v>
      </c>
      <c r="D64" s="15" t="s">
        <v>22</v>
      </c>
      <c r="E64" s="174">
        <f>'Στοιχεία υφιστάμενου δικτύου'!J63</f>
        <v>0</v>
      </c>
      <c r="F64" s="168">
        <f>E64+F63</f>
        <v>4</v>
      </c>
      <c r="G64" s="168">
        <f>F64+G63</f>
        <v>8</v>
      </c>
      <c r="H64" s="168">
        <f>G64+H63</f>
        <v>8</v>
      </c>
      <c r="I64" s="168">
        <f>H64+I63</f>
        <v>8</v>
      </c>
      <c r="J64" s="168">
        <f>I64+J63</f>
        <v>8</v>
      </c>
      <c r="K64" s="32"/>
    </row>
    <row r="66" spans="2:11" ht="15.75" x14ac:dyDescent="0.25">
      <c r="B66" s="463" t="s">
        <v>236</v>
      </c>
      <c r="C66" s="463"/>
      <c r="D66" s="463"/>
      <c r="E66" s="463"/>
      <c r="F66" s="463"/>
      <c r="G66" s="463"/>
      <c r="H66" s="463"/>
      <c r="I66" s="463"/>
      <c r="J66" s="463"/>
      <c r="K66" s="463"/>
    </row>
    <row r="67" spans="2:11" ht="4.9000000000000004" customHeight="1" outlineLevel="1" x14ac:dyDescent="0.25"/>
    <row r="68" spans="2:11" outlineLevel="1" x14ac:dyDescent="0.25">
      <c r="B68" s="453"/>
      <c r="C68" s="454"/>
      <c r="D68" s="9" t="s">
        <v>20</v>
      </c>
      <c r="E68" s="9">
        <f>$C$3-1</f>
        <v>2022</v>
      </c>
      <c r="F68" s="9">
        <f>$C$3</f>
        <v>2023</v>
      </c>
      <c r="G68" s="9">
        <f>$C$3+1</f>
        <v>2024</v>
      </c>
      <c r="H68" s="9">
        <f>$C$3+2</f>
        <v>2025</v>
      </c>
      <c r="I68" s="9">
        <f>$C$3+3</f>
        <v>2026</v>
      </c>
      <c r="J68" s="9">
        <f>$C$3+4</f>
        <v>2027</v>
      </c>
      <c r="K68" s="9" t="str">
        <f>F68&amp;" - "&amp;J68</f>
        <v>2023 - 2027</v>
      </c>
    </row>
    <row r="69" spans="2:11" outlineLevel="1" x14ac:dyDescent="0.25">
      <c r="B69" s="451" t="s">
        <v>229</v>
      </c>
      <c r="C69" s="5" t="s">
        <v>6</v>
      </c>
      <c r="D69" s="14" t="s">
        <v>22</v>
      </c>
      <c r="E69" s="173">
        <v>0</v>
      </c>
      <c r="F69" s="167">
        <v>4625</v>
      </c>
      <c r="G69" s="167">
        <v>4318</v>
      </c>
      <c r="H69" s="167">
        <v>4213</v>
      </c>
      <c r="I69" s="167">
        <v>3315</v>
      </c>
      <c r="J69" s="167">
        <v>2465</v>
      </c>
      <c r="K69" s="167">
        <f>SUM(F69:J69)</f>
        <v>18936</v>
      </c>
    </row>
    <row r="70" spans="2:11" outlineLevel="1" x14ac:dyDescent="0.25">
      <c r="B70" s="452"/>
      <c r="C70" s="7" t="s">
        <v>7</v>
      </c>
      <c r="D70" s="15" t="s">
        <v>22</v>
      </c>
      <c r="E70" s="174">
        <v>0</v>
      </c>
      <c r="F70" s="168">
        <v>4625</v>
      </c>
      <c r="G70" s="168">
        <v>8943</v>
      </c>
      <c r="H70" s="168">
        <v>13156</v>
      </c>
      <c r="I70" s="168">
        <v>16471</v>
      </c>
      <c r="J70" s="168">
        <v>18936</v>
      </c>
      <c r="K70" s="32"/>
    </row>
    <row r="71" spans="2:11" outlineLevel="1" x14ac:dyDescent="0.25">
      <c r="B71" s="451" t="s">
        <v>203</v>
      </c>
      <c r="C71" s="5" t="s">
        <v>6</v>
      </c>
      <c r="D71" s="14" t="s">
        <v>22</v>
      </c>
      <c r="E71" s="173">
        <v>0</v>
      </c>
      <c r="F71" s="167">
        <v>4056</v>
      </c>
      <c r="G71" s="167">
        <v>3526</v>
      </c>
      <c r="H71" s="167">
        <v>3631</v>
      </c>
      <c r="I71" s="167">
        <v>3104</v>
      </c>
      <c r="J71" s="167">
        <v>2371</v>
      </c>
      <c r="K71" s="167">
        <f>SUM(F71:J71)</f>
        <v>16688</v>
      </c>
    </row>
    <row r="72" spans="2:11" outlineLevel="1" x14ac:dyDescent="0.25">
      <c r="B72" s="452"/>
      <c r="C72" s="7" t="s">
        <v>7</v>
      </c>
      <c r="D72" s="15" t="s">
        <v>22</v>
      </c>
      <c r="E72" s="174">
        <v>0</v>
      </c>
      <c r="F72" s="168">
        <v>4056</v>
      </c>
      <c r="G72" s="168">
        <v>7582</v>
      </c>
      <c r="H72" s="168">
        <v>11213</v>
      </c>
      <c r="I72" s="168">
        <v>14317</v>
      </c>
      <c r="J72" s="168">
        <v>16688</v>
      </c>
      <c r="K72" s="32"/>
    </row>
    <row r="73" spans="2:11" outlineLevel="1" x14ac:dyDescent="0.25">
      <c r="B73" s="451" t="s">
        <v>205</v>
      </c>
      <c r="C73" s="5" t="s">
        <v>6</v>
      </c>
      <c r="D73" s="14" t="s">
        <v>22</v>
      </c>
      <c r="E73" s="173">
        <v>0</v>
      </c>
      <c r="F73" s="167">
        <v>4056</v>
      </c>
      <c r="G73" s="167">
        <v>3526</v>
      </c>
      <c r="H73" s="167">
        <v>3631</v>
      </c>
      <c r="I73" s="167">
        <v>3104</v>
      </c>
      <c r="J73" s="167">
        <v>2371</v>
      </c>
      <c r="K73" s="167">
        <f>SUM(F73:J73)</f>
        <v>16688</v>
      </c>
    </row>
    <row r="74" spans="2:11" outlineLevel="1" x14ac:dyDescent="0.25">
      <c r="B74" s="452"/>
      <c r="C74" s="7" t="s">
        <v>7</v>
      </c>
      <c r="D74" s="15" t="s">
        <v>22</v>
      </c>
      <c r="E74" s="174">
        <v>0</v>
      </c>
      <c r="F74" s="168">
        <v>4056</v>
      </c>
      <c r="G74" s="168">
        <v>7582</v>
      </c>
      <c r="H74" s="168">
        <v>11213</v>
      </c>
      <c r="I74" s="168">
        <v>14317</v>
      </c>
      <c r="J74" s="168">
        <v>16688</v>
      </c>
      <c r="K74" s="32"/>
    </row>
    <row r="75" spans="2:11" outlineLevel="1" x14ac:dyDescent="0.25">
      <c r="B75" s="451" t="s">
        <v>206</v>
      </c>
      <c r="C75" s="5" t="s">
        <v>6</v>
      </c>
      <c r="D75" s="14" t="s">
        <v>22</v>
      </c>
      <c r="E75" s="173">
        <v>0</v>
      </c>
      <c r="F75" s="167">
        <v>465</v>
      </c>
      <c r="G75" s="167">
        <v>666</v>
      </c>
      <c r="H75" s="167">
        <v>523</v>
      </c>
      <c r="I75" s="167">
        <v>184</v>
      </c>
      <c r="J75" s="167">
        <v>83</v>
      </c>
      <c r="K75" s="167">
        <f>SUM(F75:J75)</f>
        <v>1921</v>
      </c>
    </row>
    <row r="76" spans="2:11" outlineLevel="1" x14ac:dyDescent="0.25">
      <c r="B76" s="452"/>
      <c r="C76" s="7" t="s">
        <v>7</v>
      </c>
      <c r="D76" s="15" t="s">
        <v>22</v>
      </c>
      <c r="E76" s="174">
        <v>0</v>
      </c>
      <c r="F76" s="168">
        <v>465</v>
      </c>
      <c r="G76" s="168">
        <v>1131</v>
      </c>
      <c r="H76" s="168">
        <v>1654</v>
      </c>
      <c r="I76" s="168">
        <v>1838</v>
      </c>
      <c r="J76" s="168">
        <v>1921</v>
      </c>
      <c r="K76" s="32"/>
    </row>
    <row r="77" spans="2:11" outlineLevel="1" x14ac:dyDescent="0.25">
      <c r="B77" s="451" t="s">
        <v>207</v>
      </c>
      <c r="C77" s="5" t="s">
        <v>6</v>
      </c>
      <c r="D77" s="14" t="s">
        <v>22</v>
      </c>
      <c r="E77" s="173">
        <v>0</v>
      </c>
      <c r="F77" s="167">
        <v>85</v>
      </c>
      <c r="G77" s="167">
        <v>109</v>
      </c>
      <c r="H77" s="167">
        <v>48</v>
      </c>
      <c r="I77" s="167">
        <v>23</v>
      </c>
      <c r="J77" s="167">
        <v>8</v>
      </c>
      <c r="K77" s="167">
        <f>SUM(F77:J77)</f>
        <v>273</v>
      </c>
    </row>
    <row r="78" spans="2:11" outlineLevel="1" x14ac:dyDescent="0.25">
      <c r="B78" s="452"/>
      <c r="C78" s="7" t="s">
        <v>7</v>
      </c>
      <c r="D78" s="15" t="s">
        <v>22</v>
      </c>
      <c r="E78" s="174">
        <v>0</v>
      </c>
      <c r="F78" s="168">
        <v>85</v>
      </c>
      <c r="G78" s="168">
        <v>194</v>
      </c>
      <c r="H78" s="168">
        <v>242</v>
      </c>
      <c r="I78" s="168">
        <v>265</v>
      </c>
      <c r="J78" s="168">
        <v>273</v>
      </c>
      <c r="K78" s="32"/>
    </row>
    <row r="79" spans="2:11" outlineLevel="1" x14ac:dyDescent="0.25">
      <c r="B79" s="451" t="s">
        <v>13</v>
      </c>
      <c r="C79" s="5" t="s">
        <v>6</v>
      </c>
      <c r="D79" s="14" t="s">
        <v>22</v>
      </c>
      <c r="E79" s="173">
        <v>0</v>
      </c>
      <c r="F79" s="167">
        <v>17</v>
      </c>
      <c r="G79" s="167">
        <v>13</v>
      </c>
      <c r="H79" s="167">
        <v>11</v>
      </c>
      <c r="I79" s="167">
        <v>4</v>
      </c>
      <c r="J79" s="167">
        <v>3</v>
      </c>
      <c r="K79" s="167">
        <f>SUM(F79:J79)</f>
        <v>48</v>
      </c>
    </row>
    <row r="80" spans="2:11" outlineLevel="1" x14ac:dyDescent="0.25">
      <c r="B80" s="452"/>
      <c r="C80" s="7" t="s">
        <v>7</v>
      </c>
      <c r="D80" s="15" t="s">
        <v>22</v>
      </c>
      <c r="E80" s="174">
        <v>0</v>
      </c>
      <c r="F80" s="168">
        <v>17</v>
      </c>
      <c r="G80" s="168">
        <v>30</v>
      </c>
      <c r="H80" s="168">
        <v>41</v>
      </c>
      <c r="I80" s="168">
        <v>45</v>
      </c>
      <c r="J80" s="168">
        <v>48</v>
      </c>
      <c r="K80" s="32"/>
    </row>
    <row r="81" spans="2:11" outlineLevel="1" x14ac:dyDescent="0.25">
      <c r="B81" s="451" t="s">
        <v>12</v>
      </c>
      <c r="C81" s="5" t="s">
        <v>6</v>
      </c>
      <c r="D81" s="14" t="s">
        <v>22</v>
      </c>
      <c r="E81" s="173">
        <v>0</v>
      </c>
      <c r="F81" s="167">
        <v>2</v>
      </c>
      <c r="G81" s="167">
        <v>4</v>
      </c>
      <c r="H81" s="167">
        <v>0</v>
      </c>
      <c r="I81" s="167">
        <v>0</v>
      </c>
      <c r="J81" s="167">
        <v>0</v>
      </c>
      <c r="K81" s="167">
        <f>SUM(F81:J81)</f>
        <v>6</v>
      </c>
    </row>
    <row r="82" spans="2:11" outlineLevel="1" x14ac:dyDescent="0.25">
      <c r="B82" s="452"/>
      <c r="C82" s="7" t="s">
        <v>7</v>
      </c>
      <c r="D82" s="15" t="s">
        <v>22</v>
      </c>
      <c r="E82" s="174">
        <v>0</v>
      </c>
      <c r="F82" s="168">
        <v>2</v>
      </c>
      <c r="G82" s="168">
        <v>6</v>
      </c>
      <c r="H82" s="168">
        <v>6</v>
      </c>
      <c r="I82" s="168">
        <v>6</v>
      </c>
      <c r="J82" s="168">
        <v>6</v>
      </c>
      <c r="K82" s="32"/>
    </row>
    <row r="83" spans="2:11" outlineLevel="1" x14ac:dyDescent="0.25">
      <c r="B83" s="17" t="s">
        <v>15</v>
      </c>
    </row>
    <row r="85" spans="2:11" ht="15.75" x14ac:dyDescent="0.25">
      <c r="B85" s="463" t="s">
        <v>237</v>
      </c>
      <c r="C85" s="463"/>
      <c r="D85" s="463"/>
      <c r="E85" s="463"/>
      <c r="F85" s="463"/>
      <c r="G85" s="463"/>
      <c r="H85" s="463"/>
      <c r="I85" s="463"/>
      <c r="J85" s="463"/>
      <c r="K85" s="463"/>
    </row>
    <row r="86" spans="2:11" ht="4.9000000000000004" customHeight="1" outlineLevel="1" x14ac:dyDescent="0.25"/>
    <row r="87" spans="2:11" outlineLevel="1" x14ac:dyDescent="0.25">
      <c r="B87" s="453"/>
      <c r="C87" s="454"/>
      <c r="D87" s="9" t="s">
        <v>20</v>
      </c>
      <c r="E87" s="9">
        <f>$C$3-1</f>
        <v>2022</v>
      </c>
      <c r="F87" s="9">
        <f>$C$3</f>
        <v>2023</v>
      </c>
      <c r="G87" s="9">
        <f>$C$3+1</f>
        <v>2024</v>
      </c>
      <c r="H87" s="9">
        <f>$C$3+2</f>
        <v>2025</v>
      </c>
      <c r="I87" s="9">
        <f>$C$3+3</f>
        <v>2026</v>
      </c>
      <c r="J87" s="9">
        <f>$C$3+4</f>
        <v>2027</v>
      </c>
      <c r="K87" s="9" t="str">
        <f>F87&amp;" - "&amp;J87</f>
        <v>2023 - 2027</v>
      </c>
    </row>
    <row r="88" spans="2:11" outlineLevel="1" x14ac:dyDescent="0.25">
      <c r="B88" s="459" t="s">
        <v>203</v>
      </c>
      <c r="C88" s="460"/>
      <c r="D88" s="14" t="s">
        <v>85</v>
      </c>
      <c r="E88" s="173">
        <f>IFERROR(E107/E72,0)</f>
        <v>0</v>
      </c>
      <c r="F88" s="173">
        <f t="shared" ref="F88:J88" si="11">IFERROR(F107/F72,0)</f>
        <v>12.280571992110454</v>
      </c>
      <c r="G88" s="173">
        <f t="shared" si="11"/>
        <v>19.411764705882351</v>
      </c>
      <c r="H88" s="173">
        <f t="shared" si="11"/>
        <v>20.281369838580218</v>
      </c>
      <c r="I88" s="173">
        <f t="shared" si="11"/>
        <v>19.817350003492351</v>
      </c>
      <c r="J88" s="173">
        <f t="shared" si="11"/>
        <v>18.782957813998081</v>
      </c>
      <c r="K88" s="249">
        <f>SUM(E88:J88)</f>
        <v>90.574014354063451</v>
      </c>
    </row>
    <row r="89" spans="2:11" outlineLevel="1" x14ac:dyDescent="0.25">
      <c r="B89" s="459" t="s">
        <v>205</v>
      </c>
      <c r="C89" s="460" t="s">
        <v>6</v>
      </c>
      <c r="D89" s="14" t="s">
        <v>85</v>
      </c>
      <c r="E89" s="173">
        <f>IFERROR(E112/E74,0)</f>
        <v>0</v>
      </c>
      <c r="F89" s="173">
        <f t="shared" ref="F89:J89" si="12">IFERROR(F112/F74,0)</f>
        <v>2.8439349112426036</v>
      </c>
      <c r="G89" s="173">
        <f t="shared" si="12"/>
        <v>5.9159852281719862</v>
      </c>
      <c r="H89" s="173">
        <f t="shared" si="12"/>
        <v>6.4122001248550786</v>
      </c>
      <c r="I89" s="173">
        <f t="shared" si="12"/>
        <v>6.3452538939722007</v>
      </c>
      <c r="J89" s="173">
        <f t="shared" si="12"/>
        <v>6.0441634707574305</v>
      </c>
      <c r="K89" s="249">
        <f t="shared" ref="K89:K93" si="13">SUM(E89:J89)</f>
        <v>27.561537628999304</v>
      </c>
    </row>
    <row r="90" spans="2:11" outlineLevel="1" x14ac:dyDescent="0.25">
      <c r="B90" s="459" t="s">
        <v>206</v>
      </c>
      <c r="C90" s="460" t="s">
        <v>6</v>
      </c>
      <c r="D90" s="14" t="s">
        <v>85</v>
      </c>
      <c r="E90" s="173">
        <f>IFERROR(E117/E76,0)</f>
        <v>0</v>
      </c>
      <c r="F90" s="173">
        <f t="shared" ref="F90:J90" si="14">IFERROR(F117/F76,0)</f>
        <v>16.086021505376344</v>
      </c>
      <c r="G90" s="173">
        <f t="shared" si="14"/>
        <v>24.358974358974358</v>
      </c>
      <c r="H90" s="173">
        <f t="shared" si="14"/>
        <v>21.115477629987907</v>
      </c>
      <c r="I90" s="173">
        <f t="shared" si="14"/>
        <v>21.041893362350383</v>
      </c>
      <c r="J90" s="173">
        <f t="shared" si="14"/>
        <v>21.134825611660592</v>
      </c>
      <c r="K90" s="249">
        <f t="shared" si="13"/>
        <v>103.73719246834958</v>
      </c>
    </row>
    <row r="91" spans="2:11" outlineLevel="1" x14ac:dyDescent="0.25">
      <c r="B91" s="459" t="s">
        <v>207</v>
      </c>
      <c r="C91" s="460" t="s">
        <v>6</v>
      </c>
      <c r="D91" s="14" t="s">
        <v>85</v>
      </c>
      <c r="E91" s="173">
        <f>IFERROR(E122/E78,0)</f>
        <v>0</v>
      </c>
      <c r="F91" s="173">
        <f t="shared" ref="F91:J91" si="15">IFERROR(F122/F78,0)</f>
        <v>119.76470588235294</v>
      </c>
      <c r="G91" s="173">
        <f t="shared" si="15"/>
        <v>99.52887271747187</v>
      </c>
      <c r="H91" s="173">
        <f t="shared" si="15"/>
        <v>93.572233025441591</v>
      </c>
      <c r="I91" s="173">
        <f t="shared" si="15"/>
        <v>93.222567517573069</v>
      </c>
      <c r="J91" s="173">
        <f t="shared" si="15"/>
        <v>88.805788982259571</v>
      </c>
      <c r="K91" s="249">
        <f t="shared" si="13"/>
        <v>494.89416812509899</v>
      </c>
    </row>
    <row r="92" spans="2:11" outlineLevel="1" x14ac:dyDescent="0.25">
      <c r="B92" s="459" t="s">
        <v>13</v>
      </c>
      <c r="C92" s="460" t="s">
        <v>6</v>
      </c>
      <c r="D92" s="14" t="s">
        <v>85</v>
      </c>
      <c r="E92" s="173">
        <f>IFERROR(E127/E80,0)</f>
        <v>0</v>
      </c>
      <c r="F92" s="173">
        <f t="shared" ref="F92:J92" si="16">IFERROR(F127/F80,0)</f>
        <v>389.29411764705884</v>
      </c>
      <c r="G92" s="173">
        <f t="shared" si="16"/>
        <v>8887.2666666666664</v>
      </c>
      <c r="H92" s="173">
        <f t="shared" si="16"/>
        <v>11868.731707317073</v>
      </c>
      <c r="I92" s="173">
        <f t="shared" si="16"/>
        <v>14813.733333333334</v>
      </c>
      <c r="J92" s="173">
        <f t="shared" si="16"/>
        <v>15554.541666666666</v>
      </c>
      <c r="K92" s="249">
        <f t="shared" si="13"/>
        <v>51513.567491630798</v>
      </c>
    </row>
    <row r="93" spans="2:11" outlineLevel="1" x14ac:dyDescent="0.25">
      <c r="B93" s="459" t="s">
        <v>12</v>
      </c>
      <c r="C93" s="460" t="s">
        <v>6</v>
      </c>
      <c r="D93" s="12" t="s">
        <v>85</v>
      </c>
      <c r="E93" s="177">
        <f t="shared" ref="E93:J93" si="17">IFERROR(E132/E82,0)</f>
        <v>0</v>
      </c>
      <c r="F93" s="177">
        <f t="shared" si="17"/>
        <v>375</v>
      </c>
      <c r="G93" s="177">
        <f t="shared" si="17"/>
        <v>3725</v>
      </c>
      <c r="H93" s="177">
        <f t="shared" si="17"/>
        <v>3725</v>
      </c>
      <c r="I93" s="177">
        <f t="shared" si="17"/>
        <v>3725</v>
      </c>
      <c r="J93" s="177">
        <f t="shared" si="17"/>
        <v>4774.333333333333</v>
      </c>
      <c r="K93" s="253">
        <f t="shared" si="13"/>
        <v>16324.333333333332</v>
      </c>
    </row>
    <row r="94" spans="2:11" x14ac:dyDescent="0.25">
      <c r="B94" s="17"/>
    </row>
    <row r="95" spans="2:11" ht="15.75" x14ac:dyDescent="0.25">
      <c r="B95" s="463" t="s">
        <v>238</v>
      </c>
      <c r="C95" s="463"/>
      <c r="D95" s="463"/>
      <c r="E95" s="463"/>
      <c r="F95" s="463"/>
      <c r="G95" s="463"/>
      <c r="H95" s="463"/>
      <c r="I95" s="463"/>
      <c r="J95" s="463"/>
      <c r="K95" s="463"/>
    </row>
    <row r="96" spans="2:11" ht="4.9000000000000004" customHeight="1" outlineLevel="1" x14ac:dyDescent="0.25"/>
    <row r="97" spans="2:11" outlineLevel="1" x14ac:dyDescent="0.25">
      <c r="B97" s="453"/>
      <c r="C97" s="454"/>
      <c r="D97" s="9" t="s">
        <v>20</v>
      </c>
      <c r="E97" s="9">
        <f>$C$3-1</f>
        <v>2022</v>
      </c>
      <c r="F97" s="77">
        <f>$C$3</f>
        <v>2023</v>
      </c>
      <c r="G97" s="77">
        <f>$C$3+1</f>
        <v>2024</v>
      </c>
      <c r="H97" s="9">
        <f>$C$3+2</f>
        <v>2025</v>
      </c>
      <c r="I97" s="9">
        <f>$C$3+3</f>
        <v>2026</v>
      </c>
      <c r="J97" s="9">
        <f>$C$3+4</f>
        <v>2027</v>
      </c>
      <c r="K97" s="9" t="str">
        <f>F97&amp;" - "&amp;J97</f>
        <v>2023 - 2027</v>
      </c>
    </row>
    <row r="98" spans="2:11" ht="45" outlineLevel="1" x14ac:dyDescent="0.25">
      <c r="B98" s="451" t="s">
        <v>11</v>
      </c>
      <c r="C98" s="254" t="s">
        <v>216</v>
      </c>
      <c r="D98" s="263" t="s">
        <v>26</v>
      </c>
      <c r="E98" s="248"/>
      <c r="F98" s="249">
        <f>F103+F108+F113+F118+F123+F128</f>
        <v>86373</v>
      </c>
      <c r="G98" s="249">
        <f>G103+G108+G113+G118+G123+G128</f>
        <v>527861.60130718956</v>
      </c>
      <c r="H98" s="249">
        <f t="shared" ref="H98:J98" si="18">H103+H108+H113+H118+H123+H128</f>
        <v>865852.48039215687</v>
      </c>
      <c r="I98" s="249">
        <f t="shared" si="18"/>
        <v>1126916.9803921569</v>
      </c>
      <c r="J98" s="249">
        <f t="shared" si="18"/>
        <v>1254422.9803921569</v>
      </c>
      <c r="K98" s="249">
        <f>SUM(F98:J98)</f>
        <v>3861427.0424836604</v>
      </c>
    </row>
    <row r="99" spans="2:11" ht="39" outlineLevel="1" x14ac:dyDescent="0.25">
      <c r="B99" s="468"/>
      <c r="C99" s="255" t="s">
        <v>208</v>
      </c>
      <c r="D99" s="264" t="s">
        <v>26</v>
      </c>
      <c r="E99" s="256"/>
      <c r="F99" s="259">
        <f>F104+F109+F114+F119+F124+F129</f>
        <v>86373</v>
      </c>
      <c r="G99" s="259">
        <f t="shared" ref="G99:J99" si="19">G104+G109+G114+G119+G124+G129</f>
        <v>441488.60130718956</v>
      </c>
      <c r="H99" s="259">
        <f t="shared" si="19"/>
        <v>337990.87908496731</v>
      </c>
      <c r="I99" s="259">
        <f t="shared" si="19"/>
        <v>261064.5</v>
      </c>
      <c r="J99" s="259">
        <f t="shared" si="19"/>
        <v>129565.5</v>
      </c>
      <c r="K99" s="260"/>
    </row>
    <row r="100" spans="2:11" ht="39" outlineLevel="1" x14ac:dyDescent="0.25">
      <c r="B100" s="468"/>
      <c r="C100" s="257" t="s">
        <v>209</v>
      </c>
      <c r="D100" s="265" t="s">
        <v>26</v>
      </c>
      <c r="E100" s="258"/>
      <c r="F100" s="258"/>
      <c r="G100" s="261">
        <f>G105+G110+G115+G120+G125+G130</f>
        <v>86373</v>
      </c>
      <c r="H100" s="261">
        <f>H105+H110+H115+H120+H125+H130</f>
        <v>527861.60130718956</v>
      </c>
      <c r="I100" s="261">
        <f t="shared" ref="I100:J100" si="20">I105+I110+I115+I120+I125+I130</f>
        <v>865852.48039215687</v>
      </c>
      <c r="J100" s="261">
        <f t="shared" si="20"/>
        <v>1124857.4803921569</v>
      </c>
      <c r="K100" s="262"/>
    </row>
    <row r="101" spans="2:11" ht="45" outlineLevel="1" x14ac:dyDescent="0.25">
      <c r="B101" s="468"/>
      <c r="C101" s="149" t="s">
        <v>146</v>
      </c>
      <c r="D101" s="266" t="s">
        <v>26</v>
      </c>
      <c r="E101" s="250"/>
      <c r="F101" s="251">
        <f>F106+F111+F116+F121+F126+F131</f>
        <v>0</v>
      </c>
      <c r="G101" s="251">
        <f t="shared" ref="G101:J101" si="21">G106+G111+G116+G121+G126+G131</f>
        <v>0</v>
      </c>
      <c r="H101" s="251">
        <f t="shared" si="21"/>
        <v>0</v>
      </c>
      <c r="I101" s="251">
        <f t="shared" si="21"/>
        <v>0</v>
      </c>
      <c r="J101" s="251">
        <f t="shared" si="21"/>
        <v>0</v>
      </c>
      <c r="K101" s="252"/>
    </row>
    <row r="102" spans="2:11" outlineLevel="1" x14ac:dyDescent="0.25">
      <c r="B102" s="452"/>
      <c r="C102" s="7" t="s">
        <v>210</v>
      </c>
      <c r="D102" s="30" t="s">
        <v>26</v>
      </c>
      <c r="E102" s="249">
        <f>'Στοιχεία υφιστάμενου δικτύου'!I87</f>
        <v>1135</v>
      </c>
      <c r="F102" s="169">
        <f>F107+F112+F117+F122+F127+F132</f>
        <v>86373</v>
      </c>
      <c r="G102" s="169">
        <f t="shared" ref="G102:J102" si="22">G107+G112+G117+G122+G127+G132</f>
        <v>527861.60130718956</v>
      </c>
      <c r="H102" s="169">
        <f t="shared" si="22"/>
        <v>865852.48039215687</v>
      </c>
      <c r="I102" s="169">
        <f t="shared" si="22"/>
        <v>1126916.9803921569</v>
      </c>
      <c r="J102" s="169">
        <f t="shared" si="22"/>
        <v>1254422.9803921569</v>
      </c>
      <c r="K102" s="249">
        <f>SUM(F102:J102)</f>
        <v>3861427.0424836604</v>
      </c>
    </row>
    <row r="103" spans="2:11" ht="45" outlineLevel="1" x14ac:dyDescent="0.25">
      <c r="B103" s="451" t="s">
        <v>203</v>
      </c>
      <c r="C103" s="254" t="s">
        <v>216</v>
      </c>
      <c r="D103" s="263" t="s">
        <v>26</v>
      </c>
      <c r="E103" s="248"/>
      <c r="F103" s="249">
        <f>F104+F105</f>
        <v>49810</v>
      </c>
      <c r="G103" s="249">
        <f>G104+G105</f>
        <v>147180</v>
      </c>
      <c r="H103" s="249">
        <f t="shared" ref="H103:J103" si="23">H104+H105</f>
        <v>227415</v>
      </c>
      <c r="I103" s="249">
        <f t="shared" si="23"/>
        <v>283725</v>
      </c>
      <c r="J103" s="249">
        <f t="shared" si="23"/>
        <v>313450</v>
      </c>
      <c r="K103" s="249">
        <f>SUM(F103:J103)</f>
        <v>1021580</v>
      </c>
    </row>
    <row r="104" spans="2:11" ht="39" outlineLevel="1" x14ac:dyDescent="0.25">
      <c r="B104" s="468"/>
      <c r="C104" s="255" t="s">
        <v>208</v>
      </c>
      <c r="D104" s="264" t="s">
        <v>26</v>
      </c>
      <c r="E104" s="256"/>
      <c r="F104" s="259">
        <f>'Διανεμόμενες ποσότητες αερίου'!R56</f>
        <v>49810</v>
      </c>
      <c r="G104" s="259">
        <f>'Διανεμόμενες ποσότητες αερίου'!V56</f>
        <v>97370</v>
      </c>
      <c r="H104" s="259">
        <f>'Διανεμόμενες ποσότητες αερίου'!AB56</f>
        <v>80235</v>
      </c>
      <c r="I104" s="259">
        <f>'Διανεμόμενες ποσότητες αερίου'!AH56</f>
        <v>56310</v>
      </c>
      <c r="J104" s="259">
        <f>'Διανεμόμενες ποσότητες αερίου'!AN56</f>
        <v>29725</v>
      </c>
      <c r="K104" s="260"/>
    </row>
    <row r="105" spans="2:11" ht="39" outlineLevel="1" x14ac:dyDescent="0.25">
      <c r="B105" s="468"/>
      <c r="C105" s="257" t="s">
        <v>209</v>
      </c>
      <c r="D105" s="265" t="s">
        <v>26</v>
      </c>
      <c r="E105" s="258"/>
      <c r="F105" s="258"/>
      <c r="G105" s="261">
        <f>'Διανεμόμενες ποσότητες αερίου'!W56</f>
        <v>49810</v>
      </c>
      <c r="H105" s="261">
        <f>'Διανεμόμενες ποσότητες αερίου'!AC56</f>
        <v>147180</v>
      </c>
      <c r="I105" s="261">
        <f>'Διανεμόμενες ποσότητες αερίου'!AI56</f>
        <v>227415</v>
      </c>
      <c r="J105" s="261">
        <f>'Διανεμόμενες ποσότητες αερίου'!AO56</f>
        <v>283725</v>
      </c>
      <c r="K105" s="262"/>
    </row>
    <row r="106" spans="2:11" ht="45" outlineLevel="1" x14ac:dyDescent="0.25">
      <c r="B106" s="468"/>
      <c r="C106" s="149" t="s">
        <v>146</v>
      </c>
      <c r="D106" s="266" t="s">
        <v>26</v>
      </c>
      <c r="E106" s="250"/>
      <c r="F106" s="251">
        <f>'Διανεμόμενες ποσότητες αερίου'!S56</f>
        <v>0</v>
      </c>
      <c r="G106" s="251">
        <f>'Διανεμόμενες ποσότητες αερίου'!Y56</f>
        <v>0</v>
      </c>
      <c r="H106" s="251">
        <f>'Διανεμόμενες ποσότητες αερίου'!AE56</f>
        <v>0</v>
      </c>
      <c r="I106" s="251">
        <f>'Διανεμόμενες ποσότητες αερίου'!AK56</f>
        <v>0</v>
      </c>
      <c r="J106" s="251">
        <f>'Διανεμόμενες ποσότητες αερίου'!AQ56</f>
        <v>0</v>
      </c>
      <c r="K106" s="252"/>
    </row>
    <row r="107" spans="2:11" outlineLevel="1" x14ac:dyDescent="0.25">
      <c r="B107" s="452"/>
      <c r="C107" s="7" t="s">
        <v>210</v>
      </c>
      <c r="D107" s="30" t="s">
        <v>26</v>
      </c>
      <c r="E107" s="249">
        <f>'Στοιχεία υφιστάμενου δικτύου'!I88</f>
        <v>840</v>
      </c>
      <c r="F107" s="169">
        <f>F103+F106</f>
        <v>49810</v>
      </c>
      <c r="G107" s="169">
        <f t="shared" ref="G107:J107" si="24">G103+G106</f>
        <v>147180</v>
      </c>
      <c r="H107" s="169">
        <f t="shared" si="24"/>
        <v>227415</v>
      </c>
      <c r="I107" s="169">
        <f t="shared" si="24"/>
        <v>283725</v>
      </c>
      <c r="J107" s="169">
        <f t="shared" si="24"/>
        <v>313450</v>
      </c>
      <c r="K107" s="249">
        <f>SUM(F107:J107)</f>
        <v>1021580</v>
      </c>
    </row>
    <row r="108" spans="2:11" ht="45" outlineLevel="1" x14ac:dyDescent="0.25">
      <c r="B108" s="451" t="s">
        <v>205</v>
      </c>
      <c r="C108" s="254" t="s">
        <v>216</v>
      </c>
      <c r="D108" s="263" t="s">
        <v>26</v>
      </c>
      <c r="E108" s="248"/>
      <c r="F108" s="249">
        <f>F109+F110</f>
        <v>11535</v>
      </c>
      <c r="G108" s="249">
        <f t="shared" ref="G108" si="25">G109+G110</f>
        <v>44855</v>
      </c>
      <c r="H108" s="249">
        <f t="shared" ref="H108" si="26">H109+H110</f>
        <v>71900</v>
      </c>
      <c r="I108" s="249">
        <f t="shared" ref="I108" si="27">I109+I110</f>
        <v>90845</v>
      </c>
      <c r="J108" s="249">
        <f t="shared" ref="J108" si="28">J109+J110</f>
        <v>100865</v>
      </c>
      <c r="K108" s="249">
        <f>SUM(F108:J108)</f>
        <v>320000</v>
      </c>
    </row>
    <row r="109" spans="2:11" ht="39" outlineLevel="1" x14ac:dyDescent="0.25">
      <c r="B109" s="468"/>
      <c r="C109" s="255" t="s">
        <v>208</v>
      </c>
      <c r="D109" s="264" t="s">
        <v>26</v>
      </c>
      <c r="E109" s="256"/>
      <c r="F109" s="259">
        <f>'Διανεμόμενες ποσότητες αερίου'!R80</f>
        <v>11535</v>
      </c>
      <c r="G109" s="259">
        <f>'Διανεμόμενες ποσότητες αερίου'!V80</f>
        <v>33320</v>
      </c>
      <c r="H109" s="259">
        <f>'Διανεμόμενες ποσότητες αερίου'!AB80</f>
        <v>27045</v>
      </c>
      <c r="I109" s="259">
        <f>'Διανεμόμενες ποσότητες αερίου'!AH80</f>
        <v>18945</v>
      </c>
      <c r="J109" s="259">
        <f>'Διανεμόμενες ποσότητες αερίου'!AN80</f>
        <v>10020</v>
      </c>
      <c r="K109" s="260"/>
    </row>
    <row r="110" spans="2:11" ht="39" outlineLevel="1" x14ac:dyDescent="0.25">
      <c r="B110" s="468"/>
      <c r="C110" s="257" t="s">
        <v>209</v>
      </c>
      <c r="D110" s="265" t="s">
        <v>26</v>
      </c>
      <c r="E110" s="258"/>
      <c r="F110" s="258"/>
      <c r="G110" s="261">
        <f>'Διανεμόμενες ποσότητες αερίου'!W80</f>
        <v>11535</v>
      </c>
      <c r="H110" s="261">
        <f>'Διανεμόμενες ποσότητες αερίου'!AC80</f>
        <v>44855</v>
      </c>
      <c r="I110" s="261">
        <f>'Διανεμόμενες ποσότητες αερίου'!AI80</f>
        <v>71900</v>
      </c>
      <c r="J110" s="261">
        <f>'Διανεμόμενες ποσότητες αερίου'!AO80</f>
        <v>90845</v>
      </c>
      <c r="K110" s="262"/>
    </row>
    <row r="111" spans="2:11" ht="45" outlineLevel="1" x14ac:dyDescent="0.25">
      <c r="B111" s="468"/>
      <c r="C111" s="149" t="s">
        <v>146</v>
      </c>
      <c r="D111" s="266" t="s">
        <v>26</v>
      </c>
      <c r="E111" s="250"/>
      <c r="F111" s="251">
        <f>'Διανεμόμενες ποσότητες αερίου'!S80</f>
        <v>0</v>
      </c>
      <c r="G111" s="251">
        <f>'Διανεμόμενες ποσότητες αερίου'!Y80</f>
        <v>0</v>
      </c>
      <c r="H111" s="251">
        <f>'Διανεμόμενες ποσότητες αερίου'!AE80</f>
        <v>0</v>
      </c>
      <c r="I111" s="251">
        <f>'Διανεμόμενες ποσότητες αερίου'!AK80</f>
        <v>0</v>
      </c>
      <c r="J111" s="251">
        <f>'Διανεμόμενες ποσότητες αερίου'!AQ80</f>
        <v>0</v>
      </c>
      <c r="K111" s="252"/>
    </row>
    <row r="112" spans="2:11" outlineLevel="1" x14ac:dyDescent="0.25">
      <c r="B112" s="452"/>
      <c r="C112" s="7" t="s">
        <v>210</v>
      </c>
      <c r="D112" s="30" t="s">
        <v>26</v>
      </c>
      <c r="E112" s="249">
        <f>'Στοιχεία υφιστάμενου δικτύου'!I89</f>
        <v>0</v>
      </c>
      <c r="F112" s="169">
        <f>F108+F111</f>
        <v>11535</v>
      </c>
      <c r="G112" s="169">
        <f t="shared" ref="G112" si="29">G108+G111</f>
        <v>44855</v>
      </c>
      <c r="H112" s="169">
        <f t="shared" ref="H112" si="30">H108+H111</f>
        <v>71900</v>
      </c>
      <c r="I112" s="169">
        <f t="shared" ref="I112" si="31">I108+I111</f>
        <v>90845</v>
      </c>
      <c r="J112" s="169">
        <f t="shared" ref="J112" si="32">J108+J111</f>
        <v>100865</v>
      </c>
      <c r="K112" s="249">
        <f>SUM(F112:J112)</f>
        <v>320000</v>
      </c>
    </row>
    <row r="113" spans="2:11" ht="45" outlineLevel="1" x14ac:dyDescent="0.25">
      <c r="B113" s="451" t="s">
        <v>206</v>
      </c>
      <c r="C113" s="254" t="s">
        <v>216</v>
      </c>
      <c r="D113" s="263" t="s">
        <v>26</v>
      </c>
      <c r="E113" s="248"/>
      <c r="F113" s="249">
        <f>F114+F115</f>
        <v>7480</v>
      </c>
      <c r="G113" s="249">
        <f t="shared" ref="G113" si="33">G114+G115</f>
        <v>27550</v>
      </c>
      <c r="H113" s="249">
        <f t="shared" ref="H113" si="34">H114+H115</f>
        <v>34925</v>
      </c>
      <c r="I113" s="249">
        <f t="shared" ref="I113" si="35">I114+I115</f>
        <v>38675</v>
      </c>
      <c r="J113" s="249">
        <f t="shared" ref="J113" si="36">J114+J115</f>
        <v>40600</v>
      </c>
      <c r="K113" s="249">
        <f>SUM(F113:J113)</f>
        <v>149230</v>
      </c>
    </row>
    <row r="114" spans="2:11" ht="39" outlineLevel="1" x14ac:dyDescent="0.25">
      <c r="B114" s="468"/>
      <c r="C114" s="255" t="s">
        <v>208</v>
      </c>
      <c r="D114" s="264" t="s">
        <v>26</v>
      </c>
      <c r="E114" s="256"/>
      <c r="F114" s="259">
        <f>'Διανεμόμενες ποσότητες αερίου'!R104</f>
        <v>7480</v>
      </c>
      <c r="G114" s="259">
        <f>'Διανεμόμενες ποσότητες αερίου'!V104</f>
        <v>20070</v>
      </c>
      <c r="H114" s="259">
        <f>'Διανεμόμενες ποσότητες αερίου'!AB104</f>
        <v>7375</v>
      </c>
      <c r="I114" s="259">
        <f>'Διανεμόμενες ποσότητες αερίου'!AH104</f>
        <v>3750</v>
      </c>
      <c r="J114" s="259">
        <f>'Διανεμόμενες ποσότητες αερίου'!AN104</f>
        <v>1925</v>
      </c>
      <c r="K114" s="260"/>
    </row>
    <row r="115" spans="2:11" ht="39" outlineLevel="1" x14ac:dyDescent="0.25">
      <c r="B115" s="468"/>
      <c r="C115" s="257" t="s">
        <v>209</v>
      </c>
      <c r="D115" s="265" t="s">
        <v>26</v>
      </c>
      <c r="E115" s="258"/>
      <c r="F115" s="258"/>
      <c r="G115" s="261">
        <f>'Διανεμόμενες ποσότητες αερίου'!W104</f>
        <v>7480</v>
      </c>
      <c r="H115" s="261">
        <f>'Διανεμόμενες ποσότητες αερίου'!AC104</f>
        <v>27550</v>
      </c>
      <c r="I115" s="261">
        <f>'Διανεμόμενες ποσότητες αερίου'!AI104</f>
        <v>34925</v>
      </c>
      <c r="J115" s="261">
        <f>'Διανεμόμενες ποσότητες αερίου'!AO104</f>
        <v>38675</v>
      </c>
      <c r="K115" s="262"/>
    </row>
    <row r="116" spans="2:11" ht="45" outlineLevel="1" x14ac:dyDescent="0.25">
      <c r="B116" s="468"/>
      <c r="C116" s="149" t="s">
        <v>146</v>
      </c>
      <c r="D116" s="266" t="s">
        <v>26</v>
      </c>
      <c r="E116" s="250"/>
      <c r="F116" s="251">
        <f>'Διανεμόμενες ποσότητες αερίου'!S104</f>
        <v>0</v>
      </c>
      <c r="G116" s="251">
        <f>'Διανεμόμενες ποσότητες αερίου'!Y104</f>
        <v>0</v>
      </c>
      <c r="H116" s="251">
        <f>'Διανεμόμενες ποσότητες αερίου'!AE104</f>
        <v>0</v>
      </c>
      <c r="I116" s="251">
        <f>'Διανεμόμενες ποσότητες αερίου'!AK104</f>
        <v>0</v>
      </c>
      <c r="J116" s="251">
        <f>'Διανεμόμενες ποσότητες αερίου'!AQ104</f>
        <v>0</v>
      </c>
      <c r="K116" s="252"/>
    </row>
    <row r="117" spans="2:11" outlineLevel="1" x14ac:dyDescent="0.25">
      <c r="B117" s="452"/>
      <c r="C117" s="7" t="s">
        <v>210</v>
      </c>
      <c r="D117" s="30" t="s">
        <v>26</v>
      </c>
      <c r="E117" s="249">
        <f>'Στοιχεία υφιστάμενου δικτύου'!I90</f>
        <v>295</v>
      </c>
      <c r="F117" s="169">
        <f>F113+F116</f>
        <v>7480</v>
      </c>
      <c r="G117" s="169">
        <f t="shared" ref="G117" si="37">G113+G116</f>
        <v>27550</v>
      </c>
      <c r="H117" s="169">
        <f t="shared" ref="H117" si="38">H113+H116</f>
        <v>34925</v>
      </c>
      <c r="I117" s="169">
        <f t="shared" ref="I117" si="39">I113+I116</f>
        <v>38675</v>
      </c>
      <c r="J117" s="169">
        <f t="shared" ref="J117" si="40">J113+J116</f>
        <v>40600</v>
      </c>
      <c r="K117" s="249">
        <f>SUM(F117:J117)</f>
        <v>149230</v>
      </c>
    </row>
    <row r="118" spans="2:11" ht="45" outlineLevel="1" x14ac:dyDescent="0.25">
      <c r="B118" s="451" t="s">
        <v>207</v>
      </c>
      <c r="C118" s="254" t="s">
        <v>216</v>
      </c>
      <c r="D118" s="263" t="s">
        <v>26</v>
      </c>
      <c r="E118" s="248"/>
      <c r="F118" s="249">
        <f>F119+F120</f>
        <v>10180</v>
      </c>
      <c r="G118" s="249">
        <f t="shared" ref="G118" si="41">G119+G120</f>
        <v>19308.601307189543</v>
      </c>
      <c r="H118" s="249">
        <f t="shared" ref="H118" si="42">H119+H120</f>
        <v>22644.480392156864</v>
      </c>
      <c r="I118" s="249">
        <f t="shared" ref="I118" si="43">I119+I120</f>
        <v>24703.980392156864</v>
      </c>
      <c r="J118" s="249">
        <f t="shared" ref="J118" si="44">J119+J120</f>
        <v>24243.980392156864</v>
      </c>
      <c r="K118" s="249">
        <f>SUM(F118:J118)</f>
        <v>101081.04248366015</v>
      </c>
    </row>
    <row r="119" spans="2:11" ht="39" outlineLevel="1" x14ac:dyDescent="0.25">
      <c r="B119" s="468"/>
      <c r="C119" s="255" t="s">
        <v>208</v>
      </c>
      <c r="D119" s="264" t="s">
        <v>26</v>
      </c>
      <c r="E119" s="256"/>
      <c r="F119" s="259">
        <f>'Διανεμόμενες ποσότητες αερίου'!R128</f>
        <v>10180</v>
      </c>
      <c r="G119" s="259">
        <f>'Διανεμόμενες ποσότητες αερίου'!V128</f>
        <v>9128.6013071895431</v>
      </c>
      <c r="H119" s="259">
        <f>'Διανεμόμενες ποσότητες αερίου'!AB128</f>
        <v>3335.8790849673205</v>
      </c>
      <c r="I119" s="259">
        <f>'Διανεμόμενες ποσότητες αερίου'!AH128</f>
        <v>2059.5</v>
      </c>
      <c r="J119" s="259">
        <f>'Διανεμόμενες ποσότητες αερίου'!AN128</f>
        <v>1599.5</v>
      </c>
      <c r="K119" s="260"/>
    </row>
    <row r="120" spans="2:11" ht="39" outlineLevel="1" x14ac:dyDescent="0.25">
      <c r="B120" s="468"/>
      <c r="C120" s="257" t="s">
        <v>209</v>
      </c>
      <c r="D120" s="265" t="s">
        <v>26</v>
      </c>
      <c r="E120" s="258"/>
      <c r="F120" s="258"/>
      <c r="G120" s="261">
        <f>'Διανεμόμενες ποσότητες αερίου'!W128</f>
        <v>10180</v>
      </c>
      <c r="H120" s="261">
        <f>'Διανεμόμενες ποσότητες αερίου'!AC128</f>
        <v>19308.601307189543</v>
      </c>
      <c r="I120" s="261">
        <f>'Διανεμόμενες ποσότητες αερίου'!AI128</f>
        <v>22644.480392156864</v>
      </c>
      <c r="J120" s="261">
        <f>'Διανεμόμενες ποσότητες αερίου'!AO128</f>
        <v>22644.480392156864</v>
      </c>
      <c r="K120" s="262"/>
    </row>
    <row r="121" spans="2:11" ht="45" outlineLevel="1" x14ac:dyDescent="0.25">
      <c r="B121" s="468"/>
      <c r="C121" s="149" t="s">
        <v>146</v>
      </c>
      <c r="D121" s="266" t="s">
        <v>26</v>
      </c>
      <c r="E121" s="250"/>
      <c r="F121" s="251">
        <f>'Διανεμόμενες ποσότητες αερίου'!S128</f>
        <v>0</v>
      </c>
      <c r="G121" s="251">
        <f>'Διανεμόμενες ποσότητες αερίου'!Y128</f>
        <v>0</v>
      </c>
      <c r="H121" s="251">
        <f>'Διανεμόμενες ποσότητες αερίου'!AE128</f>
        <v>0</v>
      </c>
      <c r="I121" s="251">
        <f>'Διανεμόμενες ποσότητες αερίου'!AK128</f>
        <v>0</v>
      </c>
      <c r="J121" s="251">
        <f>'Διανεμόμενες ποσότητες αερίου'!AQ128</f>
        <v>0</v>
      </c>
      <c r="K121" s="252"/>
    </row>
    <row r="122" spans="2:11" outlineLevel="1" x14ac:dyDescent="0.25">
      <c r="B122" s="452"/>
      <c r="C122" s="7" t="s">
        <v>210</v>
      </c>
      <c r="D122" s="30" t="s">
        <v>26</v>
      </c>
      <c r="E122" s="249">
        <f>'Στοιχεία υφιστάμενου δικτύου'!I91</f>
        <v>0</v>
      </c>
      <c r="F122" s="169">
        <f>F118+F121</f>
        <v>10180</v>
      </c>
      <c r="G122" s="169">
        <f t="shared" ref="G122" si="45">G118+G121</f>
        <v>19308.601307189543</v>
      </c>
      <c r="H122" s="169">
        <f t="shared" ref="H122" si="46">H118+H121</f>
        <v>22644.480392156864</v>
      </c>
      <c r="I122" s="169">
        <f t="shared" ref="I122" si="47">I118+I121</f>
        <v>24703.980392156864</v>
      </c>
      <c r="J122" s="169">
        <f t="shared" ref="J122" si="48">J118+J121</f>
        <v>24243.980392156864</v>
      </c>
      <c r="K122" s="249">
        <f>SUM(F122:J122)</f>
        <v>101081.04248366015</v>
      </c>
    </row>
    <row r="123" spans="2:11" ht="45" outlineLevel="1" x14ac:dyDescent="0.25">
      <c r="B123" s="451" t="s">
        <v>13</v>
      </c>
      <c r="C123" s="254" t="s">
        <v>216</v>
      </c>
      <c r="D123" s="263" t="s">
        <v>26</v>
      </c>
      <c r="E123" s="248"/>
      <c r="F123" s="249">
        <f>F124+F125</f>
        <v>6618</v>
      </c>
      <c r="G123" s="249">
        <f t="shared" ref="G123" si="49">G124+G125</f>
        <v>266618</v>
      </c>
      <c r="H123" s="249">
        <f t="shared" ref="H123" si="50">H124+H125</f>
        <v>486618</v>
      </c>
      <c r="I123" s="249">
        <f t="shared" ref="I123" si="51">I124+I125</f>
        <v>666618</v>
      </c>
      <c r="J123" s="249">
        <f t="shared" ref="J123" si="52">J124+J125</f>
        <v>746618</v>
      </c>
      <c r="K123" s="249">
        <f>SUM(F123:J123)</f>
        <v>2173090</v>
      </c>
    </row>
    <row r="124" spans="2:11" ht="39" outlineLevel="1" x14ac:dyDescent="0.25">
      <c r="B124" s="468"/>
      <c r="C124" s="255" t="s">
        <v>208</v>
      </c>
      <c r="D124" s="264" t="s">
        <v>26</v>
      </c>
      <c r="E124" s="256"/>
      <c r="F124" s="259">
        <f>'Διανεμόμενες ποσότητες αερίου'!R152</f>
        <v>6618</v>
      </c>
      <c r="G124" s="259">
        <f>'Διανεμόμενες ποσότητες αερίου'!V152</f>
        <v>260000</v>
      </c>
      <c r="H124" s="259">
        <f>'Διανεμόμενες ποσότητες αερίου'!AB152</f>
        <v>220000</v>
      </c>
      <c r="I124" s="259">
        <f>'Διανεμόμενες ποσότητες αερίου'!AH152</f>
        <v>180000</v>
      </c>
      <c r="J124" s="259">
        <f>'Διανεμόμενες ποσότητες αερίου'!AN152</f>
        <v>80000</v>
      </c>
      <c r="K124" s="260"/>
    </row>
    <row r="125" spans="2:11" ht="39" outlineLevel="1" x14ac:dyDescent="0.25">
      <c r="B125" s="468"/>
      <c r="C125" s="257" t="s">
        <v>209</v>
      </c>
      <c r="D125" s="265" t="s">
        <v>26</v>
      </c>
      <c r="E125" s="258"/>
      <c r="F125" s="258"/>
      <c r="G125" s="261">
        <f>'Διανεμόμενες ποσότητες αερίου'!W152</f>
        <v>6618</v>
      </c>
      <c r="H125" s="261">
        <f>'Διανεμόμενες ποσότητες αερίου'!AC152</f>
        <v>266618</v>
      </c>
      <c r="I125" s="261">
        <f>'Διανεμόμενες ποσότητες αερίου'!AI152</f>
        <v>486618</v>
      </c>
      <c r="J125" s="261">
        <f>'Διανεμόμενες ποσότητες αερίου'!AO152</f>
        <v>666618</v>
      </c>
      <c r="K125" s="262"/>
    </row>
    <row r="126" spans="2:11" ht="45" outlineLevel="1" x14ac:dyDescent="0.25">
      <c r="B126" s="468"/>
      <c r="C126" s="149" t="s">
        <v>146</v>
      </c>
      <c r="D126" s="266" t="s">
        <v>26</v>
      </c>
      <c r="E126" s="250"/>
      <c r="F126" s="251">
        <f>'Διανεμόμενες ποσότητες αερίου'!S152</f>
        <v>0</v>
      </c>
      <c r="G126" s="251">
        <f>'Διανεμόμενες ποσότητες αερίου'!Y152</f>
        <v>0</v>
      </c>
      <c r="H126" s="251">
        <f>'Διανεμόμενες ποσότητες αερίου'!AE152</f>
        <v>0</v>
      </c>
      <c r="I126" s="251">
        <f>'Διανεμόμενες ποσότητες αερίου'!AK152</f>
        <v>0</v>
      </c>
      <c r="J126" s="251">
        <f>'Διανεμόμενες ποσότητες αερίου'!AQ152</f>
        <v>0</v>
      </c>
      <c r="K126" s="252"/>
    </row>
    <row r="127" spans="2:11" outlineLevel="1" x14ac:dyDescent="0.25">
      <c r="B127" s="452"/>
      <c r="C127" s="7" t="s">
        <v>210</v>
      </c>
      <c r="D127" s="30" t="s">
        <v>26</v>
      </c>
      <c r="E127" s="249">
        <f>'Στοιχεία υφιστάμενου δικτύου'!I92</f>
        <v>0</v>
      </c>
      <c r="F127" s="169">
        <f>F123+F126</f>
        <v>6618</v>
      </c>
      <c r="G127" s="169">
        <f t="shared" ref="G127" si="53">G123+G126</f>
        <v>266618</v>
      </c>
      <c r="H127" s="169">
        <f t="shared" ref="H127" si="54">H123+H126</f>
        <v>486618</v>
      </c>
      <c r="I127" s="169">
        <f t="shared" ref="I127" si="55">I123+I126</f>
        <v>666618</v>
      </c>
      <c r="J127" s="169">
        <f t="shared" ref="J127" si="56">J123+J126</f>
        <v>746618</v>
      </c>
      <c r="K127" s="249">
        <f>SUM(F127:J127)</f>
        <v>2173090</v>
      </c>
    </row>
    <row r="128" spans="2:11" ht="45" outlineLevel="1" x14ac:dyDescent="0.25">
      <c r="B128" s="451" t="s">
        <v>12</v>
      </c>
      <c r="C128" s="254" t="s">
        <v>216</v>
      </c>
      <c r="D128" s="263" t="s">
        <v>26</v>
      </c>
      <c r="E128" s="248"/>
      <c r="F128" s="249">
        <f>F129+F130</f>
        <v>750</v>
      </c>
      <c r="G128" s="249">
        <f t="shared" ref="G128" si="57">G129+G130</f>
        <v>22350</v>
      </c>
      <c r="H128" s="249">
        <f t="shared" ref="H128" si="58">H129+H130</f>
        <v>22350</v>
      </c>
      <c r="I128" s="249">
        <f t="shared" ref="I128" si="59">I129+I130</f>
        <v>22350</v>
      </c>
      <c r="J128" s="249">
        <f t="shared" ref="J128" si="60">J129+J130</f>
        <v>28646</v>
      </c>
      <c r="K128" s="249">
        <f>SUM(F128:J128)</f>
        <v>96446</v>
      </c>
    </row>
    <row r="129" spans="2:11" ht="39" outlineLevel="1" x14ac:dyDescent="0.25">
      <c r="B129" s="468"/>
      <c r="C129" s="255" t="s">
        <v>208</v>
      </c>
      <c r="D129" s="264" t="s">
        <v>26</v>
      </c>
      <c r="E129" s="256"/>
      <c r="F129" s="259">
        <f>'Διανεμόμενες ποσότητες αερίου'!R176</f>
        <v>750</v>
      </c>
      <c r="G129" s="259">
        <f>'Διανεμόμενες ποσότητες αερίου'!V176</f>
        <v>21600</v>
      </c>
      <c r="H129" s="259">
        <f>'Διανεμόμενες ποσότητες αερίου'!AB176</f>
        <v>0</v>
      </c>
      <c r="I129" s="259">
        <f>'Διανεμόμενες ποσότητες αερίου'!AH176</f>
        <v>0</v>
      </c>
      <c r="J129" s="259">
        <f>'Διανεμόμενες ποσότητες αερίου'!AN176</f>
        <v>6296</v>
      </c>
      <c r="K129" s="260"/>
    </row>
    <row r="130" spans="2:11" ht="39" outlineLevel="1" x14ac:dyDescent="0.25">
      <c r="B130" s="468"/>
      <c r="C130" s="257" t="s">
        <v>209</v>
      </c>
      <c r="D130" s="265" t="s">
        <v>26</v>
      </c>
      <c r="E130" s="258"/>
      <c r="F130" s="258"/>
      <c r="G130" s="261">
        <f>'Διανεμόμενες ποσότητες αερίου'!W176</f>
        <v>750</v>
      </c>
      <c r="H130" s="261">
        <f>'Διανεμόμενες ποσότητες αερίου'!AC176</f>
        <v>22350</v>
      </c>
      <c r="I130" s="261">
        <f>'Διανεμόμενες ποσότητες αερίου'!AI176</f>
        <v>22350</v>
      </c>
      <c r="J130" s="261">
        <f>'Διανεμόμενες ποσότητες αερίου'!AO176</f>
        <v>22350</v>
      </c>
      <c r="K130" s="262"/>
    </row>
    <row r="131" spans="2:11" ht="45" outlineLevel="1" x14ac:dyDescent="0.25">
      <c r="B131" s="468"/>
      <c r="C131" s="149" t="s">
        <v>146</v>
      </c>
      <c r="D131" s="266" t="s">
        <v>26</v>
      </c>
      <c r="E131" s="250"/>
      <c r="F131" s="251">
        <f>'Διανεμόμενες ποσότητες αερίου'!S176</f>
        <v>0</v>
      </c>
      <c r="G131" s="251">
        <f>'Διανεμόμενες ποσότητες αερίου'!Y176</f>
        <v>0</v>
      </c>
      <c r="H131" s="251">
        <f>'Διανεμόμενες ποσότητες αερίου'!AE176</f>
        <v>0</v>
      </c>
      <c r="I131" s="251">
        <f>'Διανεμόμενες ποσότητες αερίου'!AK176</f>
        <v>0</v>
      </c>
      <c r="J131" s="251">
        <f>'Διανεμόμενες ποσότητες αερίου'!AQ176</f>
        <v>0</v>
      </c>
      <c r="K131" s="252"/>
    </row>
    <row r="132" spans="2:11" outlineLevel="1" x14ac:dyDescent="0.25">
      <c r="B132" s="452"/>
      <c r="C132" s="7" t="s">
        <v>210</v>
      </c>
      <c r="D132" s="30" t="s">
        <v>26</v>
      </c>
      <c r="E132" s="253">
        <f>'Στοιχεία υφιστάμενου δικτύου'!I93</f>
        <v>0</v>
      </c>
      <c r="F132" s="169">
        <f>F128+F131</f>
        <v>750</v>
      </c>
      <c r="G132" s="169">
        <f t="shared" ref="G132" si="61">G128+G131</f>
        <v>22350</v>
      </c>
      <c r="H132" s="169">
        <f t="shared" ref="H132" si="62">H128+H131</f>
        <v>22350</v>
      </c>
      <c r="I132" s="169">
        <f t="shared" ref="I132" si="63">I128+I131</f>
        <v>22350</v>
      </c>
      <c r="J132" s="169">
        <f t="shared" ref="J132" si="64">J128+J131</f>
        <v>28646</v>
      </c>
      <c r="K132" s="253">
        <f>SUM(F132:J132)</f>
        <v>96446</v>
      </c>
    </row>
    <row r="133" spans="2:11" ht="25.9" customHeight="1" outlineLevel="1" x14ac:dyDescent="0.25">
      <c r="B133" s="31" t="s">
        <v>45</v>
      </c>
      <c r="C133" s="23"/>
      <c r="D133" s="24"/>
      <c r="E133" s="25"/>
      <c r="F133" s="26"/>
      <c r="G133" s="26"/>
      <c r="H133" s="26"/>
      <c r="I133" s="26"/>
    </row>
    <row r="134" spans="2:11" outlineLevel="1" x14ac:dyDescent="0.25">
      <c r="B134" s="31" t="s">
        <v>46</v>
      </c>
      <c r="C134" s="23"/>
      <c r="D134" s="24"/>
      <c r="E134" s="25"/>
      <c r="F134" s="26"/>
      <c r="G134" s="26"/>
      <c r="H134" s="26"/>
      <c r="I134" s="26"/>
    </row>
    <row r="135" spans="2:11" x14ac:dyDescent="0.25">
      <c r="B135" s="31"/>
      <c r="C135" s="23"/>
      <c r="D135" s="24"/>
      <c r="E135" s="25"/>
      <c r="F135" s="26"/>
      <c r="G135" s="26"/>
      <c r="H135" s="26"/>
      <c r="I135" s="26"/>
    </row>
    <row r="136" spans="2:11" ht="15.75" x14ac:dyDescent="0.25">
      <c r="B136" s="463" t="s">
        <v>239</v>
      </c>
      <c r="C136" s="463"/>
      <c r="D136" s="463"/>
      <c r="E136" s="463"/>
      <c r="F136" s="463"/>
      <c r="G136" s="463"/>
      <c r="H136" s="463"/>
      <c r="I136" s="463"/>
      <c r="J136" s="463"/>
    </row>
    <row r="137" spans="2:11" ht="4.9000000000000004" customHeight="1" outlineLevel="1" x14ac:dyDescent="0.25"/>
    <row r="138" spans="2:11" outlineLevel="1" x14ac:dyDescent="0.25">
      <c r="B138" s="453"/>
      <c r="C138" s="454"/>
      <c r="D138" s="9" t="s">
        <v>20</v>
      </c>
      <c r="E138" s="9">
        <f>$C$3-1</f>
        <v>2022</v>
      </c>
      <c r="F138" s="9">
        <f>$C$3</f>
        <v>2023</v>
      </c>
      <c r="G138" s="9">
        <f>$C$3+1</f>
        <v>2024</v>
      </c>
      <c r="H138" s="9">
        <f>$C$3+2</f>
        <v>2025</v>
      </c>
      <c r="I138" s="9">
        <f>$C$3+3</f>
        <v>2026</v>
      </c>
      <c r="J138" s="9">
        <f>$C$3+4</f>
        <v>2027</v>
      </c>
    </row>
    <row r="139" spans="2:11" outlineLevel="1" x14ac:dyDescent="0.25">
      <c r="B139" s="455" t="s">
        <v>19</v>
      </c>
      <c r="C139" s="5" t="s">
        <v>18</v>
      </c>
      <c r="D139" s="14" t="s">
        <v>22</v>
      </c>
      <c r="E139" s="167">
        <f>'Στοιχεία υφιστάμενου δικτύου'!J98</f>
        <v>0</v>
      </c>
      <c r="F139" s="167">
        <f>SUM(F140:F142)</f>
        <v>9021.8885000000009</v>
      </c>
      <c r="G139" s="167">
        <f>SUM(G140:G142)</f>
        <v>9076.7800000000007</v>
      </c>
      <c r="H139" s="167">
        <f>SUM(H140:H142)</f>
        <v>8053.3450000000012</v>
      </c>
      <c r="I139" s="167">
        <f>SUM(I140:I142)</f>
        <v>5342.244999999999</v>
      </c>
      <c r="J139" s="167">
        <f>SUM(J140:J142)</f>
        <v>3686.235000000001</v>
      </c>
    </row>
    <row r="140" spans="2:11" outlineLevel="1" x14ac:dyDescent="0.25">
      <c r="B140" s="456"/>
      <c r="C140" s="13" t="s">
        <v>16</v>
      </c>
      <c r="D140" s="16" t="s">
        <v>22</v>
      </c>
      <c r="E140" s="175">
        <f>'Στοιχεία υφιστάμενου δικτύου'!J99</f>
        <v>0</v>
      </c>
      <c r="F140" s="170">
        <f>'Παραδοχές διείσδυσης - κάλυψης'!AC30</f>
        <v>7832.8525</v>
      </c>
      <c r="G140" s="170">
        <f>'Παραδοχές διείσδυσης - κάλυψης'!AG30</f>
        <v>7310.6350000000002</v>
      </c>
      <c r="H140" s="170">
        <f>'Παραδοχές διείσδυσης - κάλυψης'!AK30</f>
        <v>6991.76</v>
      </c>
      <c r="I140" s="170">
        <f>'Παραδοχές διείσδυσης - κάλυψης'!AO30</f>
        <v>4916.2349999999988</v>
      </c>
      <c r="J140" s="170">
        <f>'Παραδοχές διείσδυσης - κάλυψης'!AS30</f>
        <v>3509.4350000000009</v>
      </c>
    </row>
    <row r="141" spans="2:11" outlineLevel="1" x14ac:dyDescent="0.25">
      <c r="B141" s="456"/>
      <c r="C141" s="141" t="s">
        <v>174</v>
      </c>
      <c r="D141" s="16" t="s">
        <v>22</v>
      </c>
      <c r="E141" s="175">
        <f>'Στοιχεία υφιστάμενου δικτύου'!J100</f>
        <v>0</v>
      </c>
      <c r="F141" s="170">
        <f>'Παραδοχές διείσδυσης - κάλυψης'!AD30</f>
        <v>1155.0360000000001</v>
      </c>
      <c r="G141" s="170">
        <f>'Παραδοχές διείσδυσης - κάλυψης'!AH30</f>
        <v>1746.645</v>
      </c>
      <c r="H141" s="170">
        <f>'Παραδοχές διείσδυσης - κάλυψης'!AL30</f>
        <v>1045.9850000000001</v>
      </c>
      <c r="I141" s="170">
        <f>'Παραδοχές διείσδυσης - κάλυψης'!AP30</f>
        <v>420.81</v>
      </c>
      <c r="J141" s="170">
        <f>'Παραδοχές διείσδυσης - κάλυψης'!AT30</f>
        <v>172.89999999999998</v>
      </c>
    </row>
    <row r="142" spans="2:11" outlineLevel="1" x14ac:dyDescent="0.25">
      <c r="B142" s="457"/>
      <c r="C142" s="7" t="s">
        <v>13</v>
      </c>
      <c r="D142" s="15" t="s">
        <v>22</v>
      </c>
      <c r="E142" s="176">
        <f>'Στοιχεία υφιστάμενου δικτύου'!J101</f>
        <v>0</v>
      </c>
      <c r="F142" s="168">
        <f>'Παραδοχές διείσδυσης - κάλυψης'!AE30</f>
        <v>34</v>
      </c>
      <c r="G142" s="168">
        <f>'Παραδοχές διείσδυσης - κάλυψης'!AI30</f>
        <v>19.5</v>
      </c>
      <c r="H142" s="168">
        <f>'Παραδοχές διείσδυσης - κάλυψης'!AM30</f>
        <v>15.6</v>
      </c>
      <c r="I142" s="168">
        <f>'Παραδοχές διείσδυσης - κάλυψης'!AQ30</f>
        <v>5.2</v>
      </c>
      <c r="J142" s="168">
        <f>'Παραδοχές διείσδυσης - κάλυψης'!AU30</f>
        <v>3.9000000000000004</v>
      </c>
    </row>
    <row r="143" spans="2:11" outlineLevel="1" x14ac:dyDescent="0.25">
      <c r="B143" s="458" t="s">
        <v>27</v>
      </c>
      <c r="C143" s="458"/>
      <c r="D143" s="12" t="s">
        <v>22</v>
      </c>
      <c r="E143" s="177">
        <f>'Στοιχεία υφιστάμενου δικτύου'!J102</f>
        <v>0</v>
      </c>
      <c r="F143" s="172">
        <f>'Παραδοχές διείσδυσης - κάλυψης'!J54</f>
        <v>65123.199999999997</v>
      </c>
      <c r="G143" s="172">
        <f>'Παραδοχές διείσδυσης - κάλυψης'!K54</f>
        <v>71415.520000000004</v>
      </c>
      <c r="H143" s="172">
        <f>'Παραδοχές διείσδυσης - κάλυψης'!L54</f>
        <v>77687.072000000015</v>
      </c>
      <c r="I143" s="172">
        <f>'Παραδοχές διείσδυσης - κάλυψης'!M54</f>
        <v>85985.779200000019</v>
      </c>
      <c r="J143" s="172">
        <f>'Παραδοχές διείσδυσης - κάλυψης'!N54</f>
        <v>93864.357120000015</v>
      </c>
    </row>
    <row r="144" spans="2:11" outlineLevel="1" x14ac:dyDescent="0.25">
      <c r="B144" s="17" t="s">
        <v>15</v>
      </c>
    </row>
    <row r="145" spans="2:11" outlineLevel="1" x14ac:dyDescent="0.25">
      <c r="B145" s="17" t="s">
        <v>175</v>
      </c>
    </row>
    <row r="146" spans="2:11" x14ac:dyDescent="0.25">
      <c r="B146" s="17"/>
    </row>
    <row r="147" spans="2:11" ht="15.75" x14ac:dyDescent="0.25">
      <c r="B147" s="463" t="s">
        <v>240</v>
      </c>
      <c r="C147" s="463"/>
      <c r="D147" s="463"/>
      <c r="E147" s="463"/>
      <c r="F147" s="463"/>
      <c r="G147" s="463"/>
      <c r="H147" s="463"/>
      <c r="I147" s="463"/>
      <c r="J147" s="463"/>
    </row>
    <row r="148" spans="2:11" ht="4.9000000000000004" customHeight="1" outlineLevel="1" x14ac:dyDescent="0.25"/>
    <row r="149" spans="2:11" outlineLevel="1" x14ac:dyDescent="0.25">
      <c r="B149" s="453"/>
      <c r="C149" s="454"/>
      <c r="D149" s="9" t="s">
        <v>20</v>
      </c>
      <c r="E149" s="9">
        <f>$C$3-1</f>
        <v>2022</v>
      </c>
      <c r="F149" s="9">
        <f>$C$3</f>
        <v>2023</v>
      </c>
      <c r="G149" s="9">
        <f>$C$3+1</f>
        <v>2024</v>
      </c>
      <c r="H149" s="9">
        <f>$C$3+2</f>
        <v>2025</v>
      </c>
      <c r="I149" s="9">
        <f>$C$3+3</f>
        <v>2026</v>
      </c>
      <c r="J149" s="9">
        <f>$C$3+4</f>
        <v>2027</v>
      </c>
    </row>
    <row r="150" spans="2:11" outlineLevel="1" x14ac:dyDescent="0.25">
      <c r="B150" s="461" t="s">
        <v>28</v>
      </c>
      <c r="C150" s="462"/>
      <c r="D150" s="15" t="s">
        <v>21</v>
      </c>
      <c r="E150" s="174">
        <f>'Στοιχεία υφιστάμενου δικτύου'!J109</f>
        <v>0</v>
      </c>
      <c r="F150" s="168">
        <f>'Παραδοχές διείσδυσης - κάλυψης'!J76</f>
        <v>379899.68</v>
      </c>
      <c r="G150" s="168">
        <f>'Παραδοχές διείσδυσης - κάλυψης'!K76</f>
        <v>639034.48</v>
      </c>
      <c r="H150" s="168">
        <f>'Παραδοχές διείσδυσης - κάλυψης'!L76</f>
        <v>639710.48</v>
      </c>
      <c r="I150" s="168">
        <f>'Παραδοχές διείσδυσης - κάλυψης'!M76</f>
        <v>640209.67999999993</v>
      </c>
      <c r="J150" s="168">
        <f>'Παραδοχές διείσδυσης - κάλυψης'!N76</f>
        <v>641783.67999999993</v>
      </c>
    </row>
    <row r="151" spans="2:11" outlineLevel="1" x14ac:dyDescent="0.25">
      <c r="B151" s="458" t="s">
        <v>29</v>
      </c>
      <c r="C151" s="458"/>
      <c r="D151" s="12" t="s">
        <v>21</v>
      </c>
      <c r="E151" s="174">
        <f>'Στοιχεία υφιστάμενου δικτύου'!J110</f>
        <v>0</v>
      </c>
      <c r="F151" s="172">
        <f>'Παραδοχές διείσδυσης - κάλυψης'!J98</f>
        <v>538927.04399999999</v>
      </c>
      <c r="G151" s="172">
        <f>'Παραδοχές διείσδυσης - κάλυψης'!K98</f>
        <v>875814.3139999999</v>
      </c>
      <c r="H151" s="172">
        <f>'Παραδοχές διείσδυσης - κάλυψης'!L98</f>
        <v>878271.3139999999</v>
      </c>
      <c r="I151" s="172">
        <f>'Παραδοχές διείσδυσης - κάλυψης'!M98</f>
        <v>879207.3139999999</v>
      </c>
      <c r="J151" s="172">
        <f>'Παραδοχές διείσδυσης - κάλυψης'!N98</f>
        <v>879909.3139999999</v>
      </c>
    </row>
    <row r="152" spans="2:11" outlineLevel="1" x14ac:dyDescent="0.25">
      <c r="B152" s="433" t="s">
        <v>30</v>
      </c>
      <c r="C152" s="433"/>
      <c r="D152" s="433"/>
      <c r="E152" s="433"/>
      <c r="F152" s="433"/>
      <c r="G152" s="433"/>
      <c r="H152" s="433"/>
      <c r="I152" s="433"/>
    </row>
    <row r="154" spans="2:11" ht="15.75" x14ac:dyDescent="0.25">
      <c r="B154" s="463" t="s">
        <v>241</v>
      </c>
      <c r="C154" s="463"/>
      <c r="D154" s="463"/>
      <c r="E154" s="463"/>
      <c r="F154" s="463"/>
      <c r="G154" s="463"/>
      <c r="H154" s="463"/>
      <c r="I154" s="463"/>
      <c r="J154" s="463"/>
      <c r="K154" s="463"/>
    </row>
    <row r="155" spans="2:11" ht="4.9000000000000004" customHeight="1" outlineLevel="1" x14ac:dyDescent="0.25"/>
    <row r="156" spans="2:11" outlineLevel="1" x14ac:dyDescent="0.25">
      <c r="B156" s="453"/>
      <c r="C156" s="454"/>
      <c r="D156" s="9" t="s">
        <v>20</v>
      </c>
      <c r="E156" s="9">
        <f>$C$3-1</f>
        <v>2022</v>
      </c>
      <c r="F156" s="9">
        <f>$C$3</f>
        <v>2023</v>
      </c>
      <c r="G156" s="9">
        <f>$C$3+1</f>
        <v>2024</v>
      </c>
      <c r="H156" s="9">
        <f>$C$3+2</f>
        <v>2025</v>
      </c>
      <c r="I156" s="9">
        <f>$C$3+3</f>
        <v>2026</v>
      </c>
      <c r="J156" s="9">
        <f>$C$3+4</f>
        <v>2027</v>
      </c>
      <c r="K156" s="9" t="str">
        <f>F156&amp;" - "&amp;J156</f>
        <v>2023 - 2027</v>
      </c>
    </row>
    <row r="157" spans="2:11" outlineLevel="1" x14ac:dyDescent="0.25">
      <c r="B157" s="458" t="s">
        <v>53</v>
      </c>
      <c r="C157" s="458"/>
      <c r="D157" s="12" t="s">
        <v>47</v>
      </c>
      <c r="E157" s="165"/>
      <c r="F157" s="297">
        <f>SUM(F158,F165,F168,F169,F170)</f>
        <v>24045322.296975106</v>
      </c>
      <c r="G157" s="297">
        <f t="shared" ref="G157:K157" si="65">SUM(G158,G165,G168,G169,G170)</f>
        <v>10119322.455948073</v>
      </c>
      <c r="H157" s="297">
        <f t="shared" si="65"/>
        <v>7550100.8820047108</v>
      </c>
      <c r="I157" s="297">
        <f t="shared" si="65"/>
        <v>5448880.727786053</v>
      </c>
      <c r="J157" s="297">
        <f t="shared" si="65"/>
        <v>3451128.3242092985</v>
      </c>
      <c r="K157" s="172">
        <f t="shared" si="65"/>
        <v>50614754.686923243</v>
      </c>
    </row>
    <row r="158" spans="2:11" outlineLevel="1" x14ac:dyDescent="0.25">
      <c r="B158" s="461" t="s">
        <v>48</v>
      </c>
      <c r="C158" s="462"/>
      <c r="D158" s="15" t="s">
        <v>47</v>
      </c>
      <c r="E158" s="166"/>
      <c r="F158" s="298">
        <f>F159+F160+F161+F162</f>
        <v>22194410.304714654</v>
      </c>
      <c r="G158" s="298">
        <f t="shared" ref="G158:J158" si="66">G159+G160+G161+G162</f>
        <v>2989475</v>
      </c>
      <c r="H158" s="298">
        <f t="shared" si="66"/>
        <v>2046820</v>
      </c>
      <c r="I158" s="298">
        <f t="shared" si="66"/>
        <v>1618060</v>
      </c>
      <c r="J158" s="298">
        <f t="shared" si="66"/>
        <v>1423370</v>
      </c>
      <c r="K158" s="168">
        <f>SUM(F158:J158)</f>
        <v>30272135.304714654</v>
      </c>
    </row>
    <row r="159" spans="2:11" outlineLevel="1" x14ac:dyDescent="0.25">
      <c r="B159" s="464" t="s">
        <v>3</v>
      </c>
      <c r="C159" s="465"/>
      <c r="D159" s="269" t="s">
        <v>47</v>
      </c>
      <c r="E159" s="267"/>
      <c r="F159" s="268">
        <f>Επενδύσεις!D49</f>
        <v>7297084.8230566531</v>
      </c>
      <c r="G159" s="268">
        <f>Επενδύσεις!E49</f>
        <v>0</v>
      </c>
      <c r="H159" s="268">
        <f>Επενδύσεις!F49</f>
        <v>0</v>
      </c>
      <c r="I159" s="268">
        <f>Επενδύσεις!G49</f>
        <v>0</v>
      </c>
      <c r="J159" s="268">
        <f>Επενδύσεις!H49</f>
        <v>0</v>
      </c>
      <c r="K159" s="168">
        <f t="shared" ref="K159:K170" si="67">SUM(F159:J159)</f>
        <v>7297084.8230566531</v>
      </c>
    </row>
    <row r="160" spans="2:11" outlineLevel="1" x14ac:dyDescent="0.25">
      <c r="B160" s="464" t="s">
        <v>23</v>
      </c>
      <c r="C160" s="465"/>
      <c r="D160" s="269" t="s">
        <v>47</v>
      </c>
      <c r="E160" s="267"/>
      <c r="F160" s="268">
        <f>Επενδύσεις!D70</f>
        <v>11507105.481658</v>
      </c>
      <c r="G160" s="268">
        <f>Επενδύσεις!E70</f>
        <v>2489475</v>
      </c>
      <c r="H160" s="268">
        <f>Επενδύσεις!F70</f>
        <v>1996820</v>
      </c>
      <c r="I160" s="268">
        <f>Επενδύσεις!G70</f>
        <v>1618060</v>
      </c>
      <c r="J160" s="268">
        <f>Επενδύσεις!H70</f>
        <v>1423370</v>
      </c>
      <c r="K160" s="168">
        <f t="shared" si="67"/>
        <v>19034830.481658</v>
      </c>
    </row>
    <row r="161" spans="2:11" outlineLevel="1" x14ac:dyDescent="0.25">
      <c r="B161" s="464" t="s">
        <v>228</v>
      </c>
      <c r="C161" s="465"/>
      <c r="D161" s="269" t="s">
        <v>47</v>
      </c>
      <c r="E161" s="267"/>
      <c r="F161" s="268">
        <f>Επενδύσεις!D133</f>
        <v>240220</v>
      </c>
      <c r="G161" s="268">
        <f>Επενδύσεις!E133</f>
        <v>500000</v>
      </c>
      <c r="H161" s="268">
        <f>Επενδύσεις!F133</f>
        <v>50000</v>
      </c>
      <c r="I161" s="268">
        <f>Επενδύσεις!G133</f>
        <v>0</v>
      </c>
      <c r="J161" s="268">
        <f>Επενδύσεις!H133</f>
        <v>0</v>
      </c>
      <c r="K161" s="168">
        <f t="shared" si="67"/>
        <v>790220</v>
      </c>
    </row>
    <row r="162" spans="2:11" outlineLevel="1" x14ac:dyDescent="0.25">
      <c r="B162" s="464" t="s">
        <v>24</v>
      </c>
      <c r="C162" s="465"/>
      <c r="D162" s="269" t="s">
        <v>47</v>
      </c>
      <c r="E162" s="267"/>
      <c r="F162" s="268">
        <f>Επενδύσεις!D154</f>
        <v>3150000</v>
      </c>
      <c r="G162" s="268">
        <f>Επενδύσεις!E154</f>
        <v>0</v>
      </c>
      <c r="H162" s="268">
        <f>Επενδύσεις!F154</f>
        <v>0</v>
      </c>
      <c r="I162" s="268">
        <f>Επενδύσεις!G154</f>
        <v>0</v>
      </c>
      <c r="J162" s="268">
        <f>Επενδύσεις!H154</f>
        <v>0</v>
      </c>
      <c r="K162" s="168">
        <f t="shared" si="67"/>
        <v>3150000</v>
      </c>
    </row>
    <row r="163" spans="2:11" outlineLevel="1" x14ac:dyDescent="0.25">
      <c r="B163" s="464" t="s">
        <v>97</v>
      </c>
      <c r="C163" s="465"/>
      <c r="D163" s="269" t="s">
        <v>47</v>
      </c>
      <c r="E163" s="267"/>
      <c r="F163" s="268"/>
      <c r="G163" s="268"/>
      <c r="H163" s="268"/>
      <c r="I163" s="268"/>
      <c r="J163" s="268"/>
      <c r="K163" s="168">
        <f t="shared" si="67"/>
        <v>0</v>
      </c>
    </row>
    <row r="164" spans="2:11" outlineLevel="1" x14ac:dyDescent="0.25">
      <c r="B164" s="464" t="s">
        <v>25</v>
      </c>
      <c r="C164" s="465"/>
      <c r="D164" s="269" t="s">
        <v>47</v>
      </c>
      <c r="E164" s="267"/>
      <c r="F164" s="268"/>
      <c r="G164" s="268"/>
      <c r="H164" s="268"/>
      <c r="I164" s="268"/>
      <c r="J164" s="268"/>
      <c r="K164" s="168">
        <f t="shared" si="67"/>
        <v>0</v>
      </c>
    </row>
    <row r="165" spans="2:11" outlineLevel="1" x14ac:dyDescent="0.25">
      <c r="B165" s="458" t="s">
        <v>49</v>
      </c>
      <c r="C165" s="458"/>
      <c r="D165" s="12" t="s">
        <v>47</v>
      </c>
      <c r="E165" s="165"/>
      <c r="F165" s="4">
        <f>F166+F167</f>
        <v>1850911.9922604521</v>
      </c>
      <c r="G165" s="4">
        <f t="shared" ref="G165:J165" si="68">G166+G167</f>
        <v>7129847.4559480743</v>
      </c>
      <c r="H165" s="4">
        <f t="shared" si="68"/>
        <v>5503280.8820047108</v>
      </c>
      <c r="I165" s="4">
        <f t="shared" si="68"/>
        <v>3830820.727786053</v>
      </c>
      <c r="J165" s="4">
        <f t="shared" si="68"/>
        <v>2027758.3242092985</v>
      </c>
      <c r="K165" s="168">
        <f t="shared" si="67"/>
        <v>20342619.382208589</v>
      </c>
    </row>
    <row r="166" spans="2:11" outlineLevel="1" x14ac:dyDescent="0.25">
      <c r="B166" s="466" t="s">
        <v>165</v>
      </c>
      <c r="C166" s="467"/>
      <c r="D166" s="269" t="s">
        <v>47</v>
      </c>
      <c r="E166" s="267"/>
      <c r="F166" s="268">
        <f>Επενδύσεις!D91</f>
        <v>1301658.176</v>
      </c>
      <c r="G166" s="268">
        <f>Επενδύσεις!E91</f>
        <v>4968760</v>
      </c>
      <c r="H166" s="268">
        <f>Επενδύσεις!F91</f>
        <v>3833840</v>
      </c>
      <c r="I166" s="268">
        <f>Επενδύσεις!G91</f>
        <v>2669680</v>
      </c>
      <c r="J166" s="268">
        <f>Επενδύσεις!H91</f>
        <v>1413720</v>
      </c>
      <c r="K166" s="168">
        <f t="shared" si="67"/>
        <v>14187658.175999999</v>
      </c>
    </row>
    <row r="167" spans="2:11" outlineLevel="1" x14ac:dyDescent="0.25">
      <c r="B167" s="466" t="s">
        <v>37</v>
      </c>
      <c r="C167" s="467"/>
      <c r="D167" s="269" t="s">
        <v>47</v>
      </c>
      <c r="E167" s="267"/>
      <c r="F167" s="268">
        <f>Επενδύσεις!D112</f>
        <v>549253.81626045215</v>
      </c>
      <c r="G167" s="268">
        <f>Επενδύσεις!E112</f>
        <v>2161087.4559480743</v>
      </c>
      <c r="H167" s="268">
        <f>Επενδύσεις!F112</f>
        <v>1669440.8820047108</v>
      </c>
      <c r="I167" s="268">
        <f>Επενδύσεις!G112</f>
        <v>1161140.7277860527</v>
      </c>
      <c r="J167" s="268">
        <f>Επενδύσεις!H112</f>
        <v>614038.32420929847</v>
      </c>
      <c r="K167" s="168">
        <f t="shared" si="67"/>
        <v>6154961.2062085886</v>
      </c>
    </row>
    <row r="168" spans="2:11" outlineLevel="1" x14ac:dyDescent="0.25">
      <c r="B168" s="461" t="s">
        <v>50</v>
      </c>
      <c r="C168" s="462"/>
      <c r="D168" s="15" t="s">
        <v>47</v>
      </c>
      <c r="E168" s="166"/>
      <c r="F168" s="8"/>
      <c r="G168" s="8"/>
      <c r="H168" s="8"/>
      <c r="I168" s="8"/>
      <c r="J168" s="8"/>
      <c r="K168" s="168">
        <f t="shared" si="67"/>
        <v>0</v>
      </c>
    </row>
    <row r="169" spans="2:11" outlineLevel="1" x14ac:dyDescent="0.25">
      <c r="B169" s="458" t="s">
        <v>51</v>
      </c>
      <c r="C169" s="458"/>
      <c r="D169" s="12" t="s">
        <v>47</v>
      </c>
      <c r="E169" s="165"/>
      <c r="F169" s="4"/>
      <c r="G169" s="4"/>
      <c r="H169" s="4"/>
      <c r="I169" s="4"/>
      <c r="J169" s="4"/>
      <c r="K169" s="168">
        <f t="shared" si="67"/>
        <v>0</v>
      </c>
    </row>
    <row r="170" spans="2:11" outlineLevel="1" x14ac:dyDescent="0.25">
      <c r="B170" s="458" t="s">
        <v>52</v>
      </c>
      <c r="C170" s="458"/>
      <c r="D170" s="12" t="s">
        <v>47</v>
      </c>
      <c r="E170" s="165"/>
      <c r="F170" s="4"/>
      <c r="G170" s="4"/>
      <c r="H170" s="4"/>
      <c r="I170" s="4"/>
      <c r="J170" s="4"/>
      <c r="K170" s="168">
        <f t="shared" si="67"/>
        <v>0</v>
      </c>
    </row>
  </sheetData>
  <mergeCells count="82">
    <mergeCell ref="B5:I5"/>
    <mergeCell ref="B123:B127"/>
    <mergeCell ref="B159:C159"/>
    <mergeCell ref="B160:C160"/>
    <mergeCell ref="B161:C161"/>
    <mergeCell ref="B50:C50"/>
    <mergeCell ref="B11:C11"/>
    <mergeCell ref="B12:B13"/>
    <mergeCell ref="B14:B15"/>
    <mergeCell ref="B16:B17"/>
    <mergeCell ref="B18:B19"/>
    <mergeCell ref="B30:K30"/>
    <mergeCell ref="B32:C32"/>
    <mergeCell ref="B33:B34"/>
    <mergeCell ref="B35:B36"/>
    <mergeCell ref="B37:B38"/>
    <mergeCell ref="B97:C97"/>
    <mergeCell ref="B95:K95"/>
    <mergeCell ref="B150:C150"/>
    <mergeCell ref="B151:C151"/>
    <mergeCell ref="B118:B122"/>
    <mergeCell ref="B138:C138"/>
    <mergeCell ref="B128:B132"/>
    <mergeCell ref="B139:B142"/>
    <mergeCell ref="B143:C143"/>
    <mergeCell ref="B149:C149"/>
    <mergeCell ref="B136:J136"/>
    <mergeCell ref="B147:J147"/>
    <mergeCell ref="B85:K85"/>
    <mergeCell ref="B87:C87"/>
    <mergeCell ref="B88:C88"/>
    <mergeCell ref="B89:C89"/>
    <mergeCell ref="B90:C90"/>
    <mergeCell ref="J2:L2"/>
    <mergeCell ref="B98:B102"/>
    <mergeCell ref="B103:B107"/>
    <mergeCell ref="B108:B112"/>
    <mergeCell ref="B113:B117"/>
    <mergeCell ref="B91:C91"/>
    <mergeCell ref="B92:C92"/>
    <mergeCell ref="B93:C93"/>
    <mergeCell ref="C2:H2"/>
    <mergeCell ref="B9:K9"/>
    <mergeCell ref="B48:K48"/>
    <mergeCell ref="B66:K66"/>
    <mergeCell ref="B20:B21"/>
    <mergeCell ref="B22:B23"/>
    <mergeCell ref="B24:B25"/>
    <mergeCell ref="B26:B27"/>
    <mergeCell ref="B39:B40"/>
    <mergeCell ref="B41:B42"/>
    <mergeCell ref="B43:B44"/>
    <mergeCell ref="B45:B46"/>
    <mergeCell ref="B51:B52"/>
    <mergeCell ref="B53:B54"/>
    <mergeCell ref="B55:B56"/>
    <mergeCell ref="B57:B58"/>
    <mergeCell ref="B59:B60"/>
    <mergeCell ref="B61:B62"/>
    <mergeCell ref="B75:B76"/>
    <mergeCell ref="B77:B78"/>
    <mergeCell ref="B79:B80"/>
    <mergeCell ref="B81:B82"/>
    <mergeCell ref="B63:B64"/>
    <mergeCell ref="B68:C68"/>
    <mergeCell ref="B69:B70"/>
    <mergeCell ref="B71:B72"/>
    <mergeCell ref="B73:B74"/>
    <mergeCell ref="B169:C169"/>
    <mergeCell ref="B170:C170"/>
    <mergeCell ref="B152:I152"/>
    <mergeCell ref="B156:C156"/>
    <mergeCell ref="B157:C157"/>
    <mergeCell ref="B158:C158"/>
    <mergeCell ref="B165:C165"/>
    <mergeCell ref="B154:K154"/>
    <mergeCell ref="B163:C163"/>
    <mergeCell ref="B168:C168"/>
    <mergeCell ref="B164:C164"/>
    <mergeCell ref="B166:C166"/>
    <mergeCell ref="B167:C167"/>
    <mergeCell ref="B162:C162"/>
  </mergeCells>
  <hyperlinks>
    <hyperlink ref="J2" location="'Αρχική σελίδα'!A1" display="Πίσω στην αρχική σελίδα" xr:uid="{690C1EE3-6E01-4D71-B9CA-EB65F41887EF}"/>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L33"/>
  <sheetViews>
    <sheetView showGridLines="0" topLeftCell="A2" workbookViewId="0">
      <selection activeCell="E15" sqref="E15"/>
    </sheetView>
  </sheetViews>
  <sheetFormatPr defaultRowHeight="15" x14ac:dyDescent="0.25"/>
  <cols>
    <col min="1" max="1" width="2.85546875" customWidth="1"/>
    <col min="2" max="2" width="34.28515625" customWidth="1"/>
    <col min="3" max="3" width="13.140625" customWidth="1"/>
    <col min="4" max="7" width="12.7109375" customWidth="1"/>
    <col min="8" max="8" width="16" bestFit="1" customWidth="1"/>
    <col min="9" max="9" width="22.5703125" customWidth="1"/>
    <col min="10" max="10" width="12.7109375" customWidth="1"/>
  </cols>
  <sheetData>
    <row r="2" spans="2:12" ht="18.75" x14ac:dyDescent="0.3">
      <c r="B2" s="1" t="s">
        <v>1</v>
      </c>
      <c r="C2" s="353" t="str">
        <f>'Αρχική σελίδα'!C3</f>
        <v>HENGAS</v>
      </c>
      <c r="D2" s="353"/>
      <c r="E2" s="353"/>
      <c r="F2" s="353"/>
      <c r="G2" s="353"/>
      <c r="H2" s="353"/>
      <c r="J2" s="354" t="s">
        <v>213</v>
      </c>
      <c r="K2" s="354"/>
      <c r="L2" s="354"/>
    </row>
    <row r="3" spans="2:12" ht="18.75" x14ac:dyDescent="0.3">
      <c r="B3" s="2" t="s">
        <v>2</v>
      </c>
      <c r="C3" s="48">
        <f>'Αρχική σελίδα'!C4</f>
        <v>2023</v>
      </c>
      <c r="D3" s="48" t="s">
        <v>0</v>
      </c>
      <c r="E3" s="48">
        <f>C3+4</f>
        <v>2027</v>
      </c>
    </row>
    <row r="5" spans="2:12" ht="30.6" customHeight="1" x14ac:dyDescent="0.25">
      <c r="B5" s="355" t="s">
        <v>256</v>
      </c>
      <c r="C5" s="355"/>
      <c r="D5" s="355"/>
      <c r="E5" s="355"/>
      <c r="F5" s="355"/>
      <c r="G5" s="355"/>
      <c r="H5" s="355"/>
      <c r="I5" s="355"/>
    </row>
    <row r="6" spans="2:12" x14ac:dyDescent="0.25">
      <c r="B6" s="271"/>
      <c r="C6" s="271"/>
      <c r="D6" s="271"/>
      <c r="E6" s="271"/>
      <c r="F6" s="271"/>
      <c r="G6" s="271"/>
      <c r="H6" s="271"/>
    </row>
    <row r="7" spans="2:12" ht="15.75" x14ac:dyDescent="0.25">
      <c r="B7" s="20" t="s">
        <v>257</v>
      </c>
      <c r="C7" s="20"/>
      <c r="D7" s="20"/>
      <c r="E7" s="20"/>
      <c r="F7" s="20"/>
      <c r="G7" s="20"/>
      <c r="H7" s="20"/>
    </row>
    <row r="8" spans="2:12" ht="4.9000000000000004" customHeight="1" x14ac:dyDescent="0.25"/>
    <row r="9" spans="2:12" x14ac:dyDescent="0.25">
      <c r="B9" s="18"/>
      <c r="C9" s="9" t="s">
        <v>54</v>
      </c>
      <c r="D9" s="9">
        <f>$C$3-5</f>
        <v>2018</v>
      </c>
      <c r="E9" s="9">
        <f>$C$3-4</f>
        <v>2019</v>
      </c>
      <c r="F9" s="9">
        <f>$C$3-3</f>
        <v>2020</v>
      </c>
      <c r="G9" s="9">
        <f>$C$3-2</f>
        <v>2021</v>
      </c>
      <c r="H9" s="9">
        <f>$C$3-1</f>
        <v>2022</v>
      </c>
    </row>
    <row r="10" spans="2:12" x14ac:dyDescent="0.25">
      <c r="B10" s="19" t="s">
        <v>31</v>
      </c>
      <c r="C10" s="29" t="s">
        <v>55</v>
      </c>
      <c r="D10" s="178">
        <f>IFERROR('Στοιχεία υφιστάμενου δικτύου'!E69/'Στοιχεία υφιστάμενου δικτύου'!E98,0)</f>
        <v>0</v>
      </c>
      <c r="E10" s="178">
        <f>IFERROR('Στοιχεία υφιστάμενου δικτύου'!F69/'Στοιχεία υφιστάμενου δικτύου'!F98,0)</f>
        <v>0</v>
      </c>
      <c r="F10" s="178">
        <f>IFERROR('Στοιχεία υφιστάμενου δικτύου'!G69/'Στοιχεία υφιστάμενου δικτύου'!G98,0)</f>
        <v>0</v>
      </c>
      <c r="G10" s="178">
        <f>IFERROR('Στοιχεία υφιστάμενου δικτύου'!H69/'Στοιχεία υφιστάμενου δικτύου'!H98,0)</f>
        <v>0</v>
      </c>
      <c r="H10" s="178">
        <f>IFERROR('Στοιχεία υφιστάμενου δικτύου'!J69/'Στοιχεία υφιστάμενου δικτύου'!J98,0)</f>
        <v>0</v>
      </c>
    </row>
    <row r="11" spans="2:12" x14ac:dyDescent="0.25">
      <c r="B11" s="19" t="s">
        <v>32</v>
      </c>
      <c r="C11" s="29" t="s">
        <v>55</v>
      </c>
      <c r="D11" s="178">
        <f>IFERROR('Στοιχεία υφιστάμενου δικτύου'!E15/'Στοιχεία υφιστάμενου δικτύου'!E110,0)</f>
        <v>0</v>
      </c>
      <c r="E11" s="178">
        <f>IFERROR('Στοιχεία υφιστάμενου δικτύου'!F15/'Στοιχεία υφιστάμενου δικτύου'!F110,0)</f>
        <v>0</v>
      </c>
      <c r="F11" s="178">
        <f>IFERROR('Στοιχεία υφιστάμενου δικτύου'!G15/'Στοιχεία υφιστάμενου δικτύου'!G110,0)</f>
        <v>0</v>
      </c>
      <c r="G11" s="178">
        <f>IFERROR('Στοιχεία υφιστάμενου δικτύου'!H15/'Στοιχεία υφιστάμενου δικτύου'!H110,0)</f>
        <v>0</v>
      </c>
      <c r="H11" s="178">
        <f>IFERROR('Στοιχεία υφιστάμενου δικτύου'!J15/'Στοιχεία υφιστάμενου δικτύου'!J110,0)</f>
        <v>0</v>
      </c>
    </row>
    <row r="12" spans="2:12" x14ac:dyDescent="0.25">
      <c r="B12" s="19" t="s">
        <v>33</v>
      </c>
      <c r="C12" s="29" t="s">
        <v>55</v>
      </c>
      <c r="D12" s="178">
        <f>IFERROR(('Στοιχεία υφιστάμενου δικτύου'!E13+'Στοιχεία υφιστάμενου δικτύου'!E15)/'Στοιχεία υφιστάμενου δικτύου'!E110,0)</f>
        <v>0</v>
      </c>
      <c r="E12" s="178">
        <f>IFERROR(('Στοιχεία υφιστάμενου δικτύου'!F13+'Στοιχεία υφιστάμενου δικτύου'!F15)/'Στοιχεία υφιστάμενου δικτύου'!F110,0)</f>
        <v>0</v>
      </c>
      <c r="F12" s="178">
        <f>IFERROR(('Στοιχεία υφιστάμενου δικτύου'!G13+'Στοιχεία υφιστάμενου δικτύου'!G15)/'Στοιχεία υφιστάμενου δικτύου'!G110,0)</f>
        <v>0</v>
      </c>
      <c r="G12" s="178">
        <f>IFERROR(('Στοιχεία υφιστάμενου δικτύου'!H13+'Στοιχεία υφιστάμενου δικτύου'!H15)/'Στοιχεία υφιστάμενου δικτύου'!H110,0)</f>
        <v>0</v>
      </c>
      <c r="H12" s="178">
        <f>IFERROR(('Στοιχεία υφιστάμενου δικτύου'!I13+'Στοιχεία υφιστάμενου δικτύου'!J15)/'Στοιχεία υφιστάμενου δικτύου'!J110,0)</f>
        <v>0</v>
      </c>
    </row>
    <row r="13" spans="2:12" x14ac:dyDescent="0.25">
      <c r="B13" s="19" t="s">
        <v>34</v>
      </c>
      <c r="C13" s="29" t="s">
        <v>55</v>
      </c>
      <c r="D13" s="178">
        <f>IFERROR('Στοιχεία υφιστάμενου δικτύου'!E33/'Στοιχεία υφιστάμενου δικτύου'!E102,0)</f>
        <v>0</v>
      </c>
      <c r="E13" s="178">
        <f>IFERROR('Στοιχεία υφιστάμενου δικτύου'!F33/'Στοιχεία υφιστάμενου δικτύου'!F102,0)</f>
        <v>0</v>
      </c>
      <c r="F13" s="178">
        <f>IFERROR('Στοιχεία υφιστάμενου δικτύου'!G33/'Στοιχεία υφιστάμενου δικτύου'!G102,0)</f>
        <v>0</v>
      </c>
      <c r="G13" s="178">
        <f>IFERROR('Στοιχεία υφιστάμενου δικτύου'!H33/'Στοιχεία υφιστάμενου δικτύου'!H102,0)</f>
        <v>0</v>
      </c>
      <c r="H13" s="178">
        <f>IFERROR('Στοιχεία υφιστάμενου δικτύου'!J33/'Στοιχεία υφιστάμενου δικτύου'!J102,0)</f>
        <v>0</v>
      </c>
    </row>
    <row r="14" spans="2:12" x14ac:dyDescent="0.25">
      <c r="B14" s="19" t="s">
        <v>35</v>
      </c>
      <c r="C14" s="29" t="s">
        <v>55</v>
      </c>
      <c r="D14" s="178">
        <f>IFERROR('Στοιχεία υφιστάμενου δικτύου'!E109/'Στοιχεία υφιστάμενου δικτύου'!E110,0)</f>
        <v>0</v>
      </c>
      <c r="E14" s="178">
        <f>IFERROR('Στοιχεία υφιστάμενου δικτύου'!F109/'Στοιχεία υφιστάμενου δικτύου'!F110,0)</f>
        <v>0</v>
      </c>
      <c r="F14" s="178">
        <f>IFERROR('Στοιχεία υφιστάμενου δικτύου'!G109/'Στοιχεία υφιστάμενου δικτύου'!G110,0)</f>
        <v>0</v>
      </c>
      <c r="G14" s="178">
        <f>IFERROR('Στοιχεία υφιστάμενου δικτύου'!H109/'Στοιχεία υφιστάμενου δικτύου'!H110,0)</f>
        <v>0</v>
      </c>
      <c r="H14" s="178">
        <f>IFERROR('Στοιχεία υφιστάμενου δικτύου'!J109/'Στοιχεία υφιστάμενου δικτύου'!J110,0)</f>
        <v>0</v>
      </c>
    </row>
    <row r="15" spans="2:12" ht="30" x14ac:dyDescent="0.25">
      <c r="B15" s="10" t="s">
        <v>38</v>
      </c>
      <c r="C15" s="11" t="s">
        <v>56</v>
      </c>
      <c r="D15" s="179">
        <f>IFERROR('Στοιχεία υφιστάμενου δικτύου'!E87/'Στοιχεία υφιστάμενου δικτύου'!E15,0)</f>
        <v>0</v>
      </c>
      <c r="E15" s="179">
        <f>IFERROR('Στοιχεία υφιστάμενου δικτύου'!F87/'Στοιχεία υφιστάμενου δικτύου'!F15,0)</f>
        <v>0</v>
      </c>
      <c r="F15" s="179">
        <f>IFERROR('Στοιχεία υφιστάμενου δικτύου'!G87/'Στοιχεία υφιστάμενου δικτύου'!G15,0)</f>
        <v>0</v>
      </c>
      <c r="G15" s="179">
        <f>IFERROR('Στοιχεία υφιστάμενου δικτύου'!H87/'Στοιχεία υφιστάμενου δικτύου'!H15,0)</f>
        <v>3.9398886883883127E-2</v>
      </c>
      <c r="H15" s="179">
        <f>IFERROR('Στοιχεία υφιστάμενου δικτύου'!J87/'Στοιχεία υφιστάμενου δικτύου'!J15,0)</f>
        <v>0</v>
      </c>
    </row>
    <row r="16" spans="2:12" ht="30" x14ac:dyDescent="0.25">
      <c r="B16" s="10" t="s">
        <v>36</v>
      </c>
      <c r="C16" s="11" t="s">
        <v>57</v>
      </c>
      <c r="D16" s="179">
        <f>IFERROR('Στοιχεία υφιστάμενου δικτύου'!E33/'Στοιχεία υφιστάμενου δικτύου'!E15,0)</f>
        <v>0</v>
      </c>
      <c r="E16" s="179">
        <f>IFERROR('Στοιχεία υφιστάμενου δικτύου'!F33/'Στοιχεία υφιστάμενου δικτύου'!F15,0)</f>
        <v>0</v>
      </c>
      <c r="F16" s="179">
        <f>IFERROR('Στοιχεία υφιστάμενου δικτύου'!G33/'Στοιχεία υφιστάμενου δικτύου'!G15,0)</f>
        <v>0</v>
      </c>
      <c r="G16" s="179">
        <f>IFERROR('Στοιχεία υφιστάμενου δικτύου'!H33/'Στοιχεία υφιστάμενου δικτύου'!H15,0)</f>
        <v>0</v>
      </c>
      <c r="H16" s="179">
        <f>IFERROR('Στοιχεία υφιστάμενου δικτύου'!J33/'Στοιχεία υφιστάμενου δικτύου'!J15,0)</f>
        <v>4.7211083536189913E-2</v>
      </c>
    </row>
    <row r="19" spans="2:10" ht="15.75" x14ac:dyDescent="0.25">
      <c r="B19" s="352" t="s">
        <v>258</v>
      </c>
      <c r="C19" s="352"/>
      <c r="D19" s="352"/>
      <c r="E19" s="352"/>
      <c r="F19" s="352"/>
      <c r="G19" s="352"/>
      <c r="H19" s="352"/>
      <c r="I19" s="352"/>
    </row>
    <row r="20" spans="2:10" ht="4.9000000000000004" customHeight="1" x14ac:dyDescent="0.25"/>
    <row r="21" spans="2:10" ht="30" x14ac:dyDescent="0.25">
      <c r="B21" s="18"/>
      <c r="C21" s="18"/>
      <c r="D21" s="27">
        <f>$C$3</f>
        <v>2023</v>
      </c>
      <c r="E21" s="27">
        <f>$C$3+1</f>
        <v>2024</v>
      </c>
      <c r="F21" s="27">
        <f>$C$3+2</f>
        <v>2025</v>
      </c>
      <c r="G21" s="27">
        <f>$C$3+3</f>
        <v>2026</v>
      </c>
      <c r="H21" s="27">
        <f>$C$3+4</f>
        <v>2027</v>
      </c>
      <c r="I21" s="28" t="str">
        <f>"Σύνολο Προγράμματος Ανάπτυξης "&amp;D21&amp;" - "&amp;H21</f>
        <v>Σύνολο Προγράμματος Ανάπτυξης 2023 - 2027</v>
      </c>
    </row>
    <row r="22" spans="2:10" x14ac:dyDescent="0.25">
      <c r="B22" s="19" t="s">
        <v>31</v>
      </c>
      <c r="C22" s="29" t="s">
        <v>55</v>
      </c>
      <c r="D22" s="178">
        <f>IFERROR('Πρόγραμμα ανάπτυξης δικτύου'!F70/'Πρόγραμμα ανάπτυξης δικτύου'!F143,0)</f>
        <v>7.1019237383912345E-2</v>
      </c>
      <c r="E22" s="178">
        <f>IFERROR('Πρόγραμμα ανάπτυξης δικτύου'!G70/'Πρόγραμμα ανάπτυξης δικτύου'!G143,0)</f>
        <v>0.1252248810902728</v>
      </c>
      <c r="F22" s="178">
        <f>IFERROR('Πρόγραμμα ανάπτυξης δικτύου'!H70/'Πρόγραμμα ανάπτυξης δικτύου'!H143,0)</f>
        <v>0.16934606571348187</v>
      </c>
      <c r="G22" s="178">
        <f>IFERROR('Πρόγραμμα ανάπτυξης δικτύου'!I70/'Πρόγραμμα ανάπτυξης δικτύου'!I143,0)</f>
        <v>0.19155493098095919</v>
      </c>
      <c r="H22" s="178">
        <f>IFERROR('Πρόγραμμα ανάπτυξης δικτύου'!J70/'Πρόγραμμα ανάπτυξης δικτύου'!J143,0)</f>
        <v>0.20173791821523315</v>
      </c>
      <c r="I22" s="469"/>
    </row>
    <row r="23" spans="2:10" x14ac:dyDescent="0.25">
      <c r="B23" s="19" t="s">
        <v>32</v>
      </c>
      <c r="C23" s="29" t="s">
        <v>55</v>
      </c>
      <c r="D23" s="178">
        <f>IFERROR('Πρόγραμμα ανάπτυξης δικτύου'!F15/'Πρόγραμμα ανάπτυξης δικτύου'!F151,0)</f>
        <v>0.56790139483146806</v>
      </c>
      <c r="E23" s="178">
        <f>IFERROR('Πρόγραμμα ανάπτυξης δικτύου'!G15/'Πρόγραμμα ανάπτυξης δικτύου'!G151,0)</f>
        <v>0.38713391021375798</v>
      </c>
      <c r="F23" s="178">
        <f>IFERROR('Πρόγραμμα ανάπτυξης δικτύου'!H15/'Πρόγραμμα ανάπτυξης δικτύου'!H151,0)</f>
        <v>0.41622379573699708</v>
      </c>
      <c r="G23" s="178">
        <f>IFERROR('Πρόγραμμα ανάπτυξης δικτύου'!I15/'Πρόγραμμα ανάπτυξης δικτύου'!I151,0)</f>
        <v>0.44023453153393582</v>
      </c>
      <c r="H23" s="178">
        <f>IFERROR('Πρόγραμμα ανάπτυξης δικτύου'!J15/'Πρόγραμμα ανάπτυξης δικτύου'!J151,0)</f>
        <v>0.46147644255985226</v>
      </c>
      <c r="I23" s="470"/>
    </row>
    <row r="24" spans="2:10" x14ac:dyDescent="0.25">
      <c r="B24" s="19" t="s">
        <v>34</v>
      </c>
      <c r="C24" s="29" t="s">
        <v>55</v>
      </c>
      <c r="D24" s="178">
        <f>IFERROR('Πρόγραμμα ανάπτυξης δικτύου'!F34/'Πρόγραμμα ανάπτυξης δικτύου'!F143,0)</f>
        <v>4.6327576040489413E-2</v>
      </c>
      <c r="E24" s="178">
        <f>IFERROR('Πρόγραμμα ανάπτυξης δικτύου'!G34/'Πρόγραμμα ανάπτυξης δικτύου'!G143,0)</f>
        <v>0.14456241444436727</v>
      </c>
      <c r="F24" s="178">
        <f>IFERROR('Πρόγραμμα ανάπτυξης δικτύου'!H34/'Πρόγραμμα ανάπτυξης δικτύου'!H143,0)</f>
        <v>0.2054653314775462</v>
      </c>
      <c r="G24" s="178">
        <f>IFERROR('Πρόγραμμα ανάπτυξης δικτύου'!I34/'Πρόγραμμα ανάπτυξης δικτύου'!I143,0)</f>
        <v>0.23129406030898647</v>
      </c>
      <c r="H24" s="178">
        <f>IFERROR('Πρόγραμμα ανάπτυξης δικτύου'!J34/'Πρόγραμμα ανάπτυξης δικτύου'!J143,0)</f>
        <v>0.23479626000979739</v>
      </c>
      <c r="I24" s="470"/>
    </row>
    <row r="25" spans="2:10" ht="45" x14ac:dyDescent="0.25">
      <c r="B25" s="10" t="s">
        <v>218</v>
      </c>
      <c r="C25" s="11" t="s">
        <v>56</v>
      </c>
      <c r="D25" s="179">
        <f>IFERROR(('Πρόγραμμα ανάπτυξης δικτύου'!F102)/'Πρόγραμμα ανάπτυξης δικτύου'!F15,0)</f>
        <v>0.28221174967756052</v>
      </c>
      <c r="E25" s="179">
        <f>IFERROR(('Πρόγραμμα ανάπτυξης δικτύου'!G102)/'Πρόγραμμα ανάπτυξης δικτύου'!G15,0)</f>
        <v>1.55685016805469</v>
      </c>
      <c r="F25" s="179">
        <f>IFERROR(('Πρόγραμμα ανάπτυξης δικτύου'!H102)/'Πρόγραμμα ανάπτυξης δικτύου'!H15,0)</f>
        <v>2.3685813309223951</v>
      </c>
      <c r="G25" s="179">
        <f>IFERROR(('Πρόγραμμα ανάπτυξης δικτύου'!I102)/'Πρόγραμμα ανάπτυξης δικτύου'!I15,0)</f>
        <v>2.9114981968105842</v>
      </c>
      <c r="H25" s="179">
        <f>IFERROR(('Πρόγραμμα ανάπτυξης δικτύου'!J102)/'Πρόγραμμα ανάπτυξης δικτύου'!J15,0)</f>
        <v>3.0892748626343458</v>
      </c>
      <c r="I25" s="470"/>
      <c r="J25" s="146"/>
    </row>
    <row r="26" spans="2:10" ht="30" x14ac:dyDescent="0.25">
      <c r="B26" s="329" t="s">
        <v>36</v>
      </c>
      <c r="C26" s="330" t="s">
        <v>57</v>
      </c>
      <c r="D26" s="331">
        <f>IFERROR('Πρόγραμμα ανάπτυξης δικτύου'!F34/'Πρόγραμμα ανάπτυξης δικτύου'!F15,0)</f>
        <v>9.8576273694001605E-3</v>
      </c>
      <c r="E26" s="331">
        <f>IFERROR('Πρόγραμμα ανάπτυξης δικτύου'!G34/'Πρόγραμμα ανάπτυξης δικτύου'!G15,0)</f>
        <v>3.0449119798056624E-2</v>
      </c>
      <c r="F26" s="331">
        <f>IFERROR('Πρόγραμμα ανάπτυξης δικτύου'!H34/'Πρόγραμμα ανάπτυξης δικτύου'!H15,0)</f>
        <v>4.3664822888836455E-2</v>
      </c>
      <c r="G26" s="331">
        <f>IFERROR('Πρόγραμμα ανάπτυξης δικτύου'!I34/'Πρόγραμμα ανάπτυξης δικτύου'!I15,0)</f>
        <v>5.1382557141005078E-2</v>
      </c>
      <c r="H26" s="331">
        <f>IFERROR('Πρόγραμμα ανάπτυξης δικτύου'!J34/'Πρόγραμμα ανάπτυξης δικτύου'!J15,0)</f>
        <v>5.4275575114475193E-2</v>
      </c>
      <c r="I26" s="471"/>
      <c r="J26" s="321"/>
    </row>
    <row r="27" spans="2:10" ht="30" x14ac:dyDescent="0.25">
      <c r="B27" s="329" t="s">
        <v>39</v>
      </c>
      <c r="C27" s="330" t="s">
        <v>58</v>
      </c>
      <c r="D27" s="331">
        <f>IFERROR('Πρόγραμμα ανάπτυξης δικτύου'!F157/'Πρόγραμμα ανάπτυξης δικτύου'!F69,0)</f>
        <v>5198.9886047513746</v>
      </c>
      <c r="E27" s="331">
        <f>IFERROR('Πρόγραμμα ανάπτυξης δικτύου'!G157/'Πρόγραμμα ανάπτυξης δικτύου'!G69,0)</f>
        <v>2343.5207169865848</v>
      </c>
      <c r="F27" s="331">
        <f>IFERROR('Πρόγραμμα ανάπτυξης δικτύου'!H157/'Πρόγραμμα ανάπτυξης δικτύου'!H69,0)</f>
        <v>1792.0961030155972</v>
      </c>
      <c r="G27" s="331">
        <f>IFERROR('Πρόγραμμα ανάπτυξης δικτύου'!I157/'Πρόγραμμα ανάπτυξης δικτύου'!I69,0)</f>
        <v>1643.7045936006193</v>
      </c>
      <c r="H27" s="331">
        <f>IFERROR('Πρόγραμμα ανάπτυξης δικτύου'!J157/'Πρόγραμμα ανάπτυξης δικτύου'!J69,0)</f>
        <v>1400.052058502758</v>
      </c>
      <c r="I27" s="179">
        <f>IFERROR('Πρόγραμμα ανάπτυξης δικτύου'!K157/'Πρόγραμμα ανάπτυξης δικτύου'!K69,0)</f>
        <v>2672.9380379659506</v>
      </c>
    </row>
    <row r="28" spans="2:10" x14ac:dyDescent="0.25">
      <c r="B28" s="329" t="s">
        <v>219</v>
      </c>
      <c r="C28" s="330" t="s">
        <v>60</v>
      </c>
      <c r="D28" s="331">
        <f>IFERROR('Πρόγραμμα ανάπτυξης δικτύου'!F157/'Πρόγραμμα ανάπτυξης δικτύου'!F98,0)</f>
        <v>278.38933806832119</v>
      </c>
      <c r="E28" s="331">
        <f>IFERROR('Πρόγραμμα ανάπτυξης δικτύου'!G157/'Πρόγραμμα ανάπτυξης δικτύου'!G98,0)</f>
        <v>19.17040836251153</v>
      </c>
      <c r="F28" s="331">
        <f>IFERROR('Πρόγραμμα ανάπτυξης δικτύου'!H157/'Πρόγραμμα ανάπτυξης δικτύου'!H98,0)</f>
        <v>8.719846686337565</v>
      </c>
      <c r="G28" s="331">
        <f>IFERROR('Πρόγραμμα ανάπτυξης δικτύου'!I157/'Πρόγραμμα ανάπτυξης δικτύου'!I98,0)</f>
        <v>4.8352104215253657</v>
      </c>
      <c r="H28" s="331">
        <f>IFERROR('Πρόγραμμα ανάπτυξης δικτύου'!J157/'Πρόγραμμα ανάπτυξης δικτύου'!J98,0)</f>
        <v>2.7511679697787494</v>
      </c>
      <c r="I28" s="179">
        <f>IFERROR('Πρόγραμμα ανάπτυξης δικτύου'!K157/'Πρόγραμμα ανάπτυξης δικτύου'!K98,0)</f>
        <v>13.107784798225259</v>
      </c>
    </row>
    <row r="29" spans="2:10" x14ac:dyDescent="0.25">
      <c r="B29" s="329" t="s">
        <v>41</v>
      </c>
      <c r="C29" s="330" t="s">
        <v>59</v>
      </c>
      <c r="D29" s="331">
        <f>IFERROR('Πρόγραμμα ανάπτυξης δικτύου'!F157/'Πρόγραμμα ανάπτυξης δικτύου'!F33,0)</f>
        <v>7969.9444139791531</v>
      </c>
      <c r="E29" s="331">
        <f>IFERROR('Πρόγραμμα ανάπτυξης δικτύου'!G157/'Πρόγραμμα ανάπτυξης δικτύου'!G33,0)</f>
        <v>1384.8805879222764</v>
      </c>
      <c r="F29" s="331">
        <f>IFERROR('Πρόγραμμα ανάπτυξης δικτύου'!H157/'Πρόγραμμα ανάπτυξης δικτύου'!H33,0)</f>
        <v>1339.1452433495408</v>
      </c>
      <c r="G29" s="331">
        <f>IFERROR('Πρόγραμμα ανάπτυξης δικτύου'!I157/'Πρόγραμμα ανάπτυξης δικτύου'!I33,0)</f>
        <v>1387.8962628084698</v>
      </c>
      <c r="H29" s="331">
        <f>IFERROR('Πρόγραμμα ανάπτυξης δικτύου'!J157/'Πρόγραμμα ανάπτυξης δικτύου'!J33,0)</f>
        <v>1604.4297183678748</v>
      </c>
      <c r="I29" s="179">
        <f>IFERROR('Πρόγραμμα ανάπτυξης δικτύου'!K157/'Πρόγραμμα ανάπτυξης δικτύου'!K33,0)</f>
        <v>2296.5994231554628</v>
      </c>
    </row>
    <row r="30" spans="2:10" ht="30" x14ac:dyDescent="0.25">
      <c r="B30" s="329" t="s">
        <v>42</v>
      </c>
      <c r="C30" s="330" t="s">
        <v>61</v>
      </c>
      <c r="D30" s="331">
        <f>IFERROR('Πρόγραμμα ανάπτυξης δικτύου'!F69/'Πρόγραμμα ανάπτυξης δικτύου'!F14,0)</f>
        <v>1.8162183388965247E-2</v>
      </c>
      <c r="E30" s="331">
        <f>IFERROR('Πρόγραμμα ανάπτυξης δικτύου'!G69/'Πρόγραμμα ανάπτυξης δικτύου'!G14,0)</f>
        <v>0.13084848484848485</v>
      </c>
      <c r="F30" s="331">
        <f>IFERROR('Πρόγραμμα ανάπτυξης δικτύου'!H69/'Πρόγραμμα ανάπτυξης δικτύου'!H14,0)</f>
        <v>0.15898113207547171</v>
      </c>
      <c r="G30" s="331">
        <f>IFERROR('Πρόγραμμα ανάπτυξης δικτύου'!I69/'Πρόγραμμα ανάπτυξης δικτύου'!I14,0)</f>
        <v>0.1541860465116279</v>
      </c>
      <c r="H30" s="331">
        <f>IFERROR('Πρόγραμμα ανάπτυξης δικτύου'!J69/'Πρόγραμμα ανάπτυξης δικτύου'!J14,0)</f>
        <v>0.12973684210526315</v>
      </c>
      <c r="I30" s="179">
        <f>IFERROR('Πρόγραμμα ανάπτυξης δικτύου'!K69/'Πρόγραμμα ανάπτυξης δικτύου'!K14,0)</f>
        <v>5.3393486536021433E-2</v>
      </c>
      <c r="J30" s="321"/>
    </row>
    <row r="31" spans="2:10" ht="30" x14ac:dyDescent="0.25">
      <c r="B31" s="329" t="s">
        <v>43</v>
      </c>
      <c r="C31" s="330" t="s">
        <v>57</v>
      </c>
      <c r="D31" s="331">
        <f>IFERROR('Πρόγραμμα ανάπτυξης δικτύου'!F33/'Πρόγραμμα ανάπτυξης δικτύου'!F14,0)</f>
        <v>1.1847634007461222E-2</v>
      </c>
      <c r="E31" s="331">
        <f>IFERROR('Πρόγραμμα ανάπτυξης δικτύου'!G33/'Πρόγραμμα ανάπτυξης δικτύου'!G14,0)</f>
        <v>0.22142424242424241</v>
      </c>
      <c r="F31" s="331">
        <f>IFERROR('Πρόγραμμα ανάπτυξης δικτύου'!H33/'Πρόγραμμα ανάπτυξης δικτύου'!H14,0)</f>
        <v>0.21275471698113207</v>
      </c>
      <c r="G31" s="331">
        <f>IFERROR('Πρόγραμμα ανάπτυξης δικτύου'!I33/'Πρόγραμμα ανάπτυξης δικτύου'!I14,0)</f>
        <v>0.1826046511627907</v>
      </c>
      <c r="H31" s="331">
        <f>IFERROR('Πρόγραμμα ανάπτυξης δικτύου'!J33/'Πρόγραμμα ανάπτυξης δικτύου'!J14,0)</f>
        <v>0.11321052631578947</v>
      </c>
      <c r="I31" s="179">
        <f>IFERROR('Πρόγραμμα ανάπτυξης δικτύου'!K33/'Πρόγραμμα ανάπτυξης δικτύου'!K14,0)</f>
        <v>6.214295784576343E-2</v>
      </c>
    </row>
    <row r="32" spans="2:10" ht="30" x14ac:dyDescent="0.25">
      <c r="B32" s="329" t="s">
        <v>220</v>
      </c>
      <c r="C32" s="330" t="s">
        <v>56</v>
      </c>
      <c r="D32" s="331">
        <f>IFERROR('Πρόγραμμα ανάπτυξης δικτύου'!F98/'Πρόγραμμα ανάπτυξης δικτύου'!F14,0)</f>
        <v>0.33918319261731789</v>
      </c>
      <c r="E32" s="331">
        <f>IFERROR('Πρόγραμμα ανάπτυξης δικτύου'!G98/'Πρόγραμμα ανάπτυξης δικτύου'!G14,0)</f>
        <v>15.995806100217866</v>
      </c>
      <c r="F32" s="331">
        <f>IFERROR('Πρόγραμμα ανάπτυξης δικτύου'!H98/'Πρόγραμμα ανάπτυξης δικτύου'!H14,0)</f>
        <v>32.673678505364407</v>
      </c>
      <c r="G32" s="331">
        <f>IFERROR('Πρόγραμμα ανάπτυξης δικτύου'!I98/'Πρόγραμμα ανάπτυξης δικτύου'!I14,0)</f>
        <v>52.414743274053805</v>
      </c>
      <c r="H32" s="331">
        <f>IFERROR('Πρόγραμμα ανάπτυξης δικτύου'!J98/'Πρόγραμμα ανάπτυξης δικτύου'!J14,0)</f>
        <v>66.022262125902998</v>
      </c>
      <c r="I32" s="179">
        <f>IFERROR('Πρόγραμμα ανάπτυξης δικτύου'!K98/'Πρόγραμμα ανάπτυξης δικτύου'!K14,0)</f>
        <v>10.887993916491359</v>
      </c>
      <c r="J32" s="146"/>
    </row>
    <row r="33" spans="2:2" x14ac:dyDescent="0.25">
      <c r="B33" s="274" t="s">
        <v>221</v>
      </c>
    </row>
  </sheetData>
  <mergeCells count="5">
    <mergeCell ref="I22:I26"/>
    <mergeCell ref="B19:I19"/>
    <mergeCell ref="C2:H2"/>
    <mergeCell ref="J2:L2"/>
    <mergeCell ref="B5:I5"/>
  </mergeCells>
  <hyperlinks>
    <hyperlink ref="J2" location="'Αρχική σελίδα'!A1" display="Πίσω στην αρχική σελίδα" xr:uid="{8401035D-41D6-462B-B9B4-DDEF21BC955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E597-B05A-4AEA-9E9E-2BDC62205EAF}">
  <sheetPr>
    <tabColor theme="9" tint="0.79998168889431442"/>
  </sheetPr>
  <dimension ref="B2:L47"/>
  <sheetViews>
    <sheetView showGridLines="0" topLeftCell="A5" workbookViewId="0">
      <selection activeCell="B9" sqref="B9:H9"/>
    </sheetView>
  </sheetViews>
  <sheetFormatPr defaultRowHeight="15" x14ac:dyDescent="0.25"/>
  <cols>
    <col min="1" max="1" width="2.85546875" customWidth="1"/>
    <col min="2" max="2" width="45.7109375" customWidth="1"/>
    <col min="3" max="3" width="12.7109375" customWidth="1"/>
    <col min="4" max="4" width="18.140625" customWidth="1"/>
    <col min="5" max="8" width="12.7109375" customWidth="1"/>
  </cols>
  <sheetData>
    <row r="2" spans="2:12" ht="18.75" x14ac:dyDescent="0.3">
      <c r="B2" s="104" t="s">
        <v>1</v>
      </c>
      <c r="C2" s="353" t="str">
        <f>'Αρχική σελίδα'!C3</f>
        <v>HENGAS</v>
      </c>
      <c r="D2" s="353"/>
      <c r="E2" s="353"/>
      <c r="F2" s="353"/>
      <c r="G2" s="353"/>
      <c r="H2" s="353"/>
      <c r="J2" s="354" t="s">
        <v>213</v>
      </c>
      <c r="K2" s="354"/>
      <c r="L2" s="354"/>
    </row>
    <row r="3" spans="2:12" ht="18.75" x14ac:dyDescent="0.3">
      <c r="B3" s="2" t="s">
        <v>2</v>
      </c>
      <c r="C3" s="48">
        <f>'Αρχική σελίδα'!C4</f>
        <v>2023</v>
      </c>
      <c r="D3" s="48" t="s">
        <v>0</v>
      </c>
      <c r="E3" s="48">
        <f>C3+4</f>
        <v>2027</v>
      </c>
    </row>
    <row r="5" spans="2:12" ht="31.9" customHeight="1" x14ac:dyDescent="0.25">
      <c r="B5" s="355" t="s">
        <v>259</v>
      </c>
      <c r="C5" s="355"/>
      <c r="D5" s="355"/>
      <c r="E5" s="355"/>
      <c r="F5" s="355"/>
      <c r="G5" s="355"/>
      <c r="H5" s="355"/>
      <c r="I5" s="355"/>
    </row>
    <row r="6" spans="2:12" x14ac:dyDescent="0.25">
      <c r="B6" s="271"/>
      <c r="C6" s="271"/>
      <c r="D6" s="271"/>
      <c r="E6" s="271"/>
      <c r="F6" s="271"/>
      <c r="G6" s="271"/>
      <c r="H6" s="271"/>
    </row>
    <row r="7" spans="2:12" x14ac:dyDescent="0.25">
      <c r="B7" s="3" t="s">
        <v>70</v>
      </c>
      <c r="C7" s="56" t="s">
        <v>55</v>
      </c>
      <c r="D7" s="337">
        <v>7.0300000000000001E-2</v>
      </c>
      <c r="E7" s="337">
        <v>7.0300000000000001E-2</v>
      </c>
      <c r="F7" s="337">
        <v>7.0300000000000001E-2</v>
      </c>
      <c r="G7" s="337">
        <v>7.0300000000000001E-2</v>
      </c>
      <c r="H7" s="337">
        <v>7.0300000000000001E-2</v>
      </c>
      <c r="I7" s="17" t="s">
        <v>71</v>
      </c>
    </row>
    <row r="9" spans="2:12" ht="15.75" x14ac:dyDescent="0.25">
      <c r="B9" s="472" t="s">
        <v>199</v>
      </c>
      <c r="C9" s="473"/>
      <c r="D9" s="473"/>
      <c r="E9" s="473"/>
      <c r="F9" s="473"/>
      <c r="G9" s="473"/>
      <c r="H9" s="474"/>
    </row>
    <row r="10" spans="2:12" x14ac:dyDescent="0.25">
      <c r="B10" s="3"/>
      <c r="C10" s="27" t="s">
        <v>20</v>
      </c>
      <c r="D10" s="27">
        <f>$C$3</f>
        <v>2023</v>
      </c>
      <c r="E10" s="27">
        <f>$C$3+1</f>
        <v>2024</v>
      </c>
      <c r="F10" s="27">
        <f>$C$3+2</f>
        <v>2025</v>
      </c>
      <c r="G10" s="27">
        <f>$C$3+3</f>
        <v>2026</v>
      </c>
      <c r="H10" s="27">
        <f>$C$3+4</f>
        <v>2027</v>
      </c>
    </row>
    <row r="11" spans="2:12" x14ac:dyDescent="0.25">
      <c r="B11" s="3" t="s">
        <v>68</v>
      </c>
      <c r="C11" s="39"/>
      <c r="D11" s="21">
        <v>1</v>
      </c>
      <c r="E11" s="21">
        <v>2</v>
      </c>
      <c r="F11" s="21">
        <v>3</v>
      </c>
      <c r="G11" s="21">
        <v>4</v>
      </c>
      <c r="H11" s="21">
        <v>5</v>
      </c>
    </row>
    <row r="12" spans="2:12" x14ac:dyDescent="0.25">
      <c r="B12" s="3" t="s">
        <v>62</v>
      </c>
      <c r="C12" s="35" t="s">
        <v>47</v>
      </c>
      <c r="D12" s="36"/>
      <c r="E12" s="36"/>
      <c r="F12" s="36"/>
      <c r="G12" s="36"/>
      <c r="H12" s="36"/>
    </row>
    <row r="13" spans="2:12" x14ac:dyDescent="0.25">
      <c r="B13" s="3" t="s">
        <v>63</v>
      </c>
      <c r="C13" s="35" t="s">
        <v>47</v>
      </c>
      <c r="D13" s="180">
        <f>D12*$D$7</f>
        <v>0</v>
      </c>
      <c r="E13" s="180">
        <f>E12*$E$7</f>
        <v>0</v>
      </c>
      <c r="F13" s="180">
        <f>F12*$F$7</f>
        <v>0</v>
      </c>
      <c r="G13" s="180">
        <f>G12*$G$7</f>
        <v>0</v>
      </c>
      <c r="H13" s="180">
        <f>H12*$H$7</f>
        <v>0</v>
      </c>
    </row>
    <row r="14" spans="2:12" x14ac:dyDescent="0.25">
      <c r="B14" s="3" t="s">
        <v>65</v>
      </c>
      <c r="C14" s="37" t="s">
        <v>47</v>
      </c>
      <c r="D14" s="36"/>
      <c r="E14" s="36"/>
      <c r="F14" s="36"/>
      <c r="G14" s="36"/>
      <c r="H14" s="36"/>
    </row>
    <row r="15" spans="2:12" x14ac:dyDescent="0.25">
      <c r="B15" s="3" t="s">
        <v>64</v>
      </c>
      <c r="C15" s="29" t="s">
        <v>47</v>
      </c>
      <c r="D15" s="36"/>
      <c r="E15" s="36"/>
      <c r="F15" s="36"/>
      <c r="G15" s="36"/>
      <c r="H15" s="36"/>
    </row>
    <row r="16" spans="2:12" x14ac:dyDescent="0.25">
      <c r="B16" s="3" t="s">
        <v>66</v>
      </c>
      <c r="C16" s="38" t="s">
        <v>47</v>
      </c>
      <c r="D16" s="181">
        <f>SUM(D13:D15)</f>
        <v>0</v>
      </c>
      <c r="E16" s="181">
        <f t="shared" ref="E16:H16" si="0">SUM(E13:E15)</f>
        <v>0</v>
      </c>
      <c r="F16" s="181">
        <f t="shared" si="0"/>
        <v>0</v>
      </c>
      <c r="G16" s="181">
        <f t="shared" si="0"/>
        <v>0</v>
      </c>
      <c r="H16" s="181">
        <f t="shared" si="0"/>
        <v>0</v>
      </c>
    </row>
    <row r="17" spans="2:8" x14ac:dyDescent="0.25">
      <c r="B17" s="3" t="s">
        <v>69</v>
      </c>
      <c r="C17" s="38" t="s">
        <v>47</v>
      </c>
      <c r="D17" s="181">
        <f>D16*1/(1+D7)</f>
        <v>0</v>
      </c>
      <c r="E17" s="181">
        <f>E16*(1/(1+E7)*1/(1+D7))</f>
        <v>0</v>
      </c>
      <c r="F17" s="181">
        <f>F16*(1/(1+F7)*(1/(1+E7)*1/(1+D7)))</f>
        <v>0</v>
      </c>
      <c r="G17" s="181">
        <f>G16*(1/(1+G7)*(1/(1+F7)*(1/(1+E7)*1/(1+D7))))</f>
        <v>0</v>
      </c>
      <c r="H17" s="181">
        <f>H16*(1/(1+H7)*(1/(1+G7)*(1/(1+F7)*(1/(1+E7)*1/(1+D7)))))</f>
        <v>0</v>
      </c>
    </row>
    <row r="18" spans="2:8" x14ac:dyDescent="0.25">
      <c r="B18" s="42" t="s">
        <v>169</v>
      </c>
      <c r="C18" s="43" t="s">
        <v>47</v>
      </c>
      <c r="D18" s="182">
        <f>SUM(D17:H17)</f>
        <v>0</v>
      </c>
      <c r="E18" s="40"/>
      <c r="F18" s="40"/>
      <c r="G18" s="40"/>
      <c r="H18" s="40"/>
    </row>
    <row r="19" spans="2:8" ht="6" customHeight="1" x14ac:dyDescent="0.25">
      <c r="C19" s="34"/>
      <c r="D19" s="34"/>
      <c r="E19" s="34"/>
      <c r="F19" s="34"/>
    </row>
    <row r="20" spans="2:8" x14ac:dyDescent="0.25">
      <c r="B20" s="3" t="s">
        <v>67</v>
      </c>
      <c r="C20" s="38" t="s">
        <v>26</v>
      </c>
      <c r="D20" s="181">
        <f>'Πρόγραμμα ανάπτυξης δικτύου'!F101</f>
        <v>0</v>
      </c>
      <c r="E20" s="181">
        <f>'Πρόγραμμα ανάπτυξης δικτύου'!G101</f>
        <v>0</v>
      </c>
      <c r="F20" s="181">
        <f>'Πρόγραμμα ανάπτυξης δικτύου'!H101</f>
        <v>0</v>
      </c>
      <c r="G20" s="181">
        <f>'Πρόγραμμα ανάπτυξης δικτύου'!I101</f>
        <v>0</v>
      </c>
      <c r="H20" s="181">
        <f>'Πρόγραμμα ανάπτυξης δικτύου'!J101</f>
        <v>0</v>
      </c>
    </row>
    <row r="21" spans="2:8" x14ac:dyDescent="0.25">
      <c r="B21" s="42" t="s">
        <v>170</v>
      </c>
      <c r="C21" s="43" t="s">
        <v>26</v>
      </c>
      <c r="D21" s="182">
        <f>SUM(D20:H20)</f>
        <v>0</v>
      </c>
    </row>
    <row r="22" spans="2:8" x14ac:dyDescent="0.25">
      <c r="B22" s="17"/>
    </row>
    <row r="23" spans="2:8" x14ac:dyDescent="0.25">
      <c r="B23" s="3" t="s">
        <v>72</v>
      </c>
      <c r="C23" s="44" t="s">
        <v>60</v>
      </c>
      <c r="D23" s="183">
        <v>7.45</v>
      </c>
    </row>
    <row r="24" spans="2:8" x14ac:dyDescent="0.25">
      <c r="D24" s="40"/>
    </row>
    <row r="26" spans="2:8" ht="15.75" x14ac:dyDescent="0.25">
      <c r="B26" s="472" t="s">
        <v>73</v>
      </c>
      <c r="C26" s="473"/>
      <c r="D26" s="473"/>
      <c r="E26" s="473"/>
      <c r="F26" s="473"/>
      <c r="G26" s="473"/>
      <c r="H26" s="474"/>
    </row>
    <row r="27" spans="2:8" x14ac:dyDescent="0.25">
      <c r="B27" s="3"/>
      <c r="C27" s="27" t="s">
        <v>20</v>
      </c>
      <c r="D27" s="27">
        <f>$C$3</f>
        <v>2023</v>
      </c>
      <c r="E27" s="27">
        <f>$C$3+1</f>
        <v>2024</v>
      </c>
      <c r="F27" s="27">
        <f>$C$3+2</f>
        <v>2025</v>
      </c>
      <c r="G27" s="27">
        <f>$C$3+3</f>
        <v>2026</v>
      </c>
      <c r="H27" s="27">
        <f>$C$3+4</f>
        <v>2027</v>
      </c>
    </row>
    <row r="28" spans="2:8" x14ac:dyDescent="0.25">
      <c r="B28" s="3" t="s">
        <v>68</v>
      </c>
      <c r="C28" s="39"/>
      <c r="D28" s="21">
        <v>1</v>
      </c>
      <c r="E28" s="21">
        <v>2</v>
      </c>
      <c r="F28" s="21">
        <v>3</v>
      </c>
      <c r="G28" s="21">
        <v>4</v>
      </c>
      <c r="H28" s="21">
        <v>5</v>
      </c>
    </row>
    <row r="29" spans="2:8" x14ac:dyDescent="0.25">
      <c r="B29" s="3" t="s">
        <v>62</v>
      </c>
      <c r="C29" s="35" t="s">
        <v>47</v>
      </c>
      <c r="D29" s="36">
        <f>Επενδύσεις!D28*100%-D31+('Πρόγραμμα ανάπτυξης δικτύου'!F99*8-'Πρόγραμμα ανάπτυξης δικτύου'!F99*5.979)</f>
        <v>23258069.238096107</v>
      </c>
      <c r="E29" s="36">
        <f>Επενδύσεις!E28*100%-E31+(SUM('Πρόγραμμα ανάπτυξης δικτύου'!F99:G99)*8-(SUM('Πρόγραμμα ανάπτυξης δικτύου'!F99:G99)*5.979))+D29</f>
        <v>33443914.582731847</v>
      </c>
      <c r="F29" s="36">
        <f>Επενδύσεις!F28*100%-F31+(SUM('Πρόγραμμα ανάπτυξης δικτύου'!F99:H99)*8-(SUM('Πρόγραμμα ανάπτυξης δικτύου'!F99:H99)*5.979))+E29</f>
        <v>41703606.503752775</v>
      </c>
      <c r="G29" s="36">
        <f>Επενδύσεις!G28*100%-G31+(SUM('Πρόγραμμα ανάπτυξης δικτύου'!F99:I99)*8-(SUM('Πρόγραμμα ανάπτυξης δικτύου'!F99:I99)*5.979))+F29</f>
        <v>48348077.752100796</v>
      </c>
      <c r="H29" s="36">
        <f>Επενδύσεις!H28*100%-H31+(SUM('Πρόγραμμα ανάπτυξης δικτύου'!F99:J99)*8-(SUM('Πρόγραμμα ανάπτυξης δικτύου'!F99:J99)*5.979))+G29</f>
        <v>53213372.124499634</v>
      </c>
    </row>
    <row r="30" spans="2:8" x14ac:dyDescent="0.25">
      <c r="B30" s="3" t="s">
        <v>63</v>
      </c>
      <c r="C30" s="35" t="s">
        <v>47</v>
      </c>
      <c r="D30" s="180">
        <f>D29*$D$7</f>
        <v>1635042.2674381563</v>
      </c>
      <c r="E30" s="180">
        <f t="shared" ref="E30" si="1">E29*$D$7</f>
        <v>2351107.1951660491</v>
      </c>
      <c r="F30" s="180">
        <f t="shared" ref="F30" si="2">F29*$D$7</f>
        <v>2931763.53721382</v>
      </c>
      <c r="G30" s="180">
        <f t="shared" ref="G30" si="3">G29*$D$7</f>
        <v>3398869.8659726861</v>
      </c>
      <c r="H30" s="180">
        <f t="shared" ref="H30" si="4">H29*$D$7</f>
        <v>3740900.0603523245</v>
      </c>
    </row>
    <row r="31" spans="2:8" x14ac:dyDescent="0.25">
      <c r="B31" s="3" t="s">
        <v>76</v>
      </c>
      <c r="C31" s="37" t="s">
        <v>47</v>
      </c>
      <c r="D31" s="36">
        <f>Επενδύσεις!D28*4%*100%</f>
        <v>961812.89187900443</v>
      </c>
      <c r="E31" s="36">
        <f>D31+IF(Επενδύσεις!E28&gt;0,D31*4%*100%,0)</f>
        <v>1000285.4075541646</v>
      </c>
      <c r="F31" s="36">
        <f>E31+IF(Επενδύσεις!F28&gt;0,E31*4%*100%,0)</f>
        <v>1040296.8238563312</v>
      </c>
      <c r="G31" s="36">
        <f>F31+IF(Επενδύσεις!G28&gt;0,F31*4%*100%,0)</f>
        <v>1081908.6968105845</v>
      </c>
      <c r="H31" s="36">
        <f>G31+IF(Επενδύσεις!H28&gt;0,G31*4%*100%,0)</f>
        <v>1125185.044683008</v>
      </c>
    </row>
    <row r="32" spans="2:8" x14ac:dyDescent="0.25">
      <c r="B32" s="3" t="s">
        <v>64</v>
      </c>
      <c r="C32" s="29" t="s">
        <v>47</v>
      </c>
      <c r="D32" s="36">
        <f>'Ανάλυση ανά δήμο'!D22+'Ανάλυση ανά δήμο'!D58+'Ανάλυση ανά δήμο'!D94+'Ανάλυση ανά δήμο'!D130+'Ανάλυση ανά δήμο'!D166+'Ανάλυση ανά δήμο'!D202+'Ανάλυση ανά δήμο'!D238+'Ανάλυση ανά δήμο'!D274+'Ανάλυση ανά δήμο'!D310</f>
        <v>1031148.416</v>
      </c>
      <c r="E32" s="36">
        <f>'Ανάλυση ανά δήμο'!E22+'Ανάλυση ανά δήμο'!E58+'Ανάλυση ανά δήμο'!E94+'Ανάλυση ανά δήμο'!E130+'Ανάλυση ανά δήμο'!E166+'Ανάλυση ανά δήμο'!E202+'Ανάλυση ανά δήμο'!E238+'Ανάλυση ανά δήμο'!E274+'Ανάλυση ανά δήμο'!E310</f>
        <v>1595607.75003</v>
      </c>
      <c r="F32" s="36">
        <f>'Ανάλυση ανά δήμο'!F22+'Ανάλυση ανά δήμο'!F58+'Ανάλυση ανά δήμο'!F94+'Ανάλυση ανά δήμο'!F130+'Ανάλυση ανά δήμο'!F166+'Ανάλυση ανά δήμο'!F202+'Ανάλυση ανά δήμο'!F238+'Ανάλυση ανά δήμο'!F274+'Ανάλυση ανά δήμο'!F310</f>
        <v>1753440.4500299997</v>
      </c>
      <c r="G32" s="36">
        <f>'Ανάλυση ανά δήμο'!G22+'Ανάλυση ανά δήμο'!G58+'Ανάλυση ανά δήμο'!G94+'Ανάλυση ανά δήμο'!G130+'Ανάλυση ανά δήμο'!G166+'Ανάλυση ανά δήμο'!G202+'Ανάλυση ανά δήμο'!G238+'Ανάλυση ανά δήμο'!G274+'Ανάλυση ανά δήμο'!G310</f>
        <v>1905511.55003</v>
      </c>
      <c r="H32" s="36">
        <f>'Ανάλυση ανά δήμο'!H22+'Ανάλυση ανά δήμο'!H58+'Ανάλυση ανά δήμο'!H94+'Ανάλυση ανά δήμο'!H130+'Ανάλυση ανά δήμο'!H166+'Ανάλυση ανά δήμο'!H202+'Ανάλυση ανά δήμο'!H238+'Ανάλυση ανά δήμο'!H274+'Ανάλυση ανά δήμο'!H310</f>
        <v>1882631.6230920001</v>
      </c>
    </row>
    <row r="33" spans="2:8" x14ac:dyDescent="0.25">
      <c r="B33" s="3" t="s">
        <v>66</v>
      </c>
      <c r="C33" s="38" t="s">
        <v>47</v>
      </c>
      <c r="D33" s="181">
        <f>SUM(D30:D32)</f>
        <v>3628003.5753171612</v>
      </c>
      <c r="E33" s="181">
        <f>SUM(E30:E32)</f>
        <v>4947000.3527502138</v>
      </c>
      <c r="F33" s="181">
        <f>SUM(F30:F32)</f>
        <v>5725500.8111001514</v>
      </c>
      <c r="G33" s="181">
        <f>SUM(G30:G32)</f>
        <v>6386290.1128132716</v>
      </c>
      <c r="H33" s="181">
        <f>SUM(H30:H32)</f>
        <v>6748716.7281273333</v>
      </c>
    </row>
    <row r="34" spans="2:8" x14ac:dyDescent="0.25">
      <c r="B34" s="3" t="s">
        <v>69</v>
      </c>
      <c r="C34" s="38" t="s">
        <v>47</v>
      </c>
      <c r="D34" s="181">
        <f>D33*1/(1+D7)</f>
        <v>3389707.1618398214</v>
      </c>
      <c r="E34" s="181">
        <f>E33*(1/(1+E7)*1/(1+D7))</f>
        <v>4318479.7799530989</v>
      </c>
      <c r="F34" s="181">
        <f>F33*(1/(1+F7)*(1/(1+E7)*1/(1+D7)))</f>
        <v>4669785.1981580146</v>
      </c>
      <c r="G34" s="181">
        <f>G33*(1/(1+G7)*(1/(1+F7)*(1/(1+E7)*1/(1+D7))))</f>
        <v>4866609.9736680835</v>
      </c>
      <c r="H34" s="181">
        <f>H33*(1/(1+H7)*(1/(1+G7)*(1/(1+F7)*(1/(1+E7)*1/(1+D7)))))</f>
        <v>4805001.9940546928</v>
      </c>
    </row>
    <row r="35" spans="2:8" x14ac:dyDescent="0.25">
      <c r="B35" s="42" t="s">
        <v>169</v>
      </c>
      <c r="C35" s="43" t="s">
        <v>47</v>
      </c>
      <c r="D35" s="182">
        <f>SUM(D34:H34)</f>
        <v>22049584.107673712</v>
      </c>
      <c r="E35" s="40"/>
      <c r="F35" s="40"/>
      <c r="G35" s="40"/>
      <c r="H35" s="40"/>
    </row>
    <row r="36" spans="2:8" x14ac:dyDescent="0.25">
      <c r="B36" s="17" t="s">
        <v>77</v>
      </c>
      <c r="C36" s="45"/>
      <c r="D36" s="46"/>
      <c r="E36" s="40"/>
      <c r="F36" s="40"/>
      <c r="G36" s="40"/>
      <c r="H36" s="40"/>
    </row>
    <row r="37" spans="2:8" x14ac:dyDescent="0.25">
      <c r="B37" s="17" t="s">
        <v>78</v>
      </c>
      <c r="C37" s="34"/>
      <c r="D37" s="34"/>
      <c r="E37" s="34"/>
      <c r="F37" s="34"/>
    </row>
    <row r="38" spans="2:8" x14ac:dyDescent="0.25">
      <c r="C38" s="34"/>
      <c r="D38" s="34"/>
      <c r="E38" s="34"/>
      <c r="F38" s="34"/>
    </row>
    <row r="39" spans="2:8" x14ac:dyDescent="0.25">
      <c r="B39" s="3" t="s">
        <v>67</v>
      </c>
      <c r="C39" s="38" t="s">
        <v>26</v>
      </c>
      <c r="D39" s="181">
        <f>'Πρόγραμμα ανάπτυξης δικτύου'!F102</f>
        <v>86373</v>
      </c>
      <c r="E39" s="181">
        <f>'Πρόγραμμα ανάπτυξης δικτύου'!G102</f>
        <v>527861.60130718956</v>
      </c>
      <c r="F39" s="181">
        <f>'Πρόγραμμα ανάπτυξης δικτύου'!H102</f>
        <v>865852.48039215687</v>
      </c>
      <c r="G39" s="181">
        <f>'Πρόγραμμα ανάπτυξης δικτύου'!I102</f>
        <v>1126916.9803921569</v>
      </c>
      <c r="H39" s="181">
        <f>'Πρόγραμμα ανάπτυξης δικτύου'!J102</f>
        <v>1254422.9803921569</v>
      </c>
    </row>
    <row r="40" spans="2:8" x14ac:dyDescent="0.25">
      <c r="B40" s="42" t="s">
        <v>170</v>
      </c>
      <c r="C40" s="43" t="s">
        <v>26</v>
      </c>
      <c r="D40" s="182">
        <f>SUM(D39:H39)</f>
        <v>3861427.0424836604</v>
      </c>
    </row>
    <row r="41" spans="2:8" x14ac:dyDescent="0.25">
      <c r="B41" s="17"/>
    </row>
    <row r="42" spans="2:8" x14ac:dyDescent="0.25">
      <c r="B42" s="3" t="s">
        <v>72</v>
      </c>
      <c r="C42" s="44" t="s">
        <v>60</v>
      </c>
      <c r="D42" s="183">
        <f>IFERROR(D35/D40,0)</f>
        <v>5.7102164213081892</v>
      </c>
    </row>
    <row r="45" spans="2:8" ht="15.75" x14ac:dyDescent="0.25">
      <c r="B45" s="472" t="s">
        <v>74</v>
      </c>
      <c r="C45" s="473"/>
      <c r="D45" s="473"/>
      <c r="E45" s="473"/>
      <c r="F45" s="473"/>
      <c r="G45" s="473"/>
      <c r="H45" s="474"/>
    </row>
    <row r="47" spans="2:8" x14ac:dyDescent="0.25">
      <c r="B47" s="42" t="s">
        <v>75</v>
      </c>
      <c r="C47" s="184">
        <f>IFERROR(D42/D23-1,0)</f>
        <v>-0.2335279971398404</v>
      </c>
    </row>
  </sheetData>
  <mergeCells count="6">
    <mergeCell ref="B45:H45"/>
    <mergeCell ref="C2:H2"/>
    <mergeCell ref="B9:H9"/>
    <mergeCell ref="B26:H26"/>
    <mergeCell ref="J2:L2"/>
    <mergeCell ref="B5:I5"/>
  </mergeCells>
  <conditionalFormatting sqref="C47">
    <cfRule type="cellIs" dxfId="1" priority="1" operator="greaterThan">
      <formula>0</formula>
    </cfRule>
    <cfRule type="cellIs" dxfId="0" priority="2" operator="lessThanOrEqual">
      <formula>0</formula>
    </cfRule>
  </conditionalFormatting>
  <hyperlinks>
    <hyperlink ref="J2" location="'Αρχική σελίδα'!A1" display="Πίσω στην αρχική σελίδα" xr:uid="{01C4E3ED-FDFD-4EEB-99C1-5897737C5AB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sheetPr>
  <dimension ref="B2:AK28"/>
  <sheetViews>
    <sheetView showGridLines="0" workbookViewId="0">
      <selection activeCell="B1" sqref="B1"/>
    </sheetView>
  </sheetViews>
  <sheetFormatPr defaultRowHeight="15" x14ac:dyDescent="0.25"/>
  <cols>
    <col min="1" max="1" width="2.85546875" customWidth="1"/>
    <col min="2" max="2" width="28.28515625" customWidth="1"/>
    <col min="3" max="3" width="19.7109375" customWidth="1"/>
    <col min="4" max="4" width="23" customWidth="1"/>
    <col min="5" max="5" width="79" customWidth="1"/>
    <col min="6" max="6" width="32.28515625" hidden="1" customWidth="1"/>
    <col min="7" max="7" width="13.7109375" customWidth="1"/>
    <col min="14" max="14" width="8.85546875" style="279"/>
  </cols>
  <sheetData>
    <row r="2" spans="2:37" ht="18.75" x14ac:dyDescent="0.3">
      <c r="B2" s="1" t="s">
        <v>1</v>
      </c>
      <c r="C2" s="353" t="str">
        <f>'Αρχική σελίδα'!C3</f>
        <v>HENGAS</v>
      </c>
      <c r="D2" s="353"/>
      <c r="E2" s="353"/>
      <c r="F2" s="353"/>
      <c r="G2" s="353"/>
      <c r="H2" s="353"/>
      <c r="J2" s="354" t="s">
        <v>213</v>
      </c>
      <c r="K2" s="354"/>
      <c r="L2" s="354"/>
    </row>
    <row r="3" spans="2:37" ht="18.75" x14ac:dyDescent="0.3">
      <c r="B3" s="2" t="s">
        <v>2</v>
      </c>
      <c r="C3" s="111">
        <f>'Αρχική σελίδα'!C4</f>
        <v>2023</v>
      </c>
      <c r="D3" s="48" t="s">
        <v>0</v>
      </c>
      <c r="E3" s="48">
        <f>C3+4</f>
        <v>2027</v>
      </c>
      <c r="M3" s="140" t="s">
        <v>161</v>
      </c>
      <c r="N3" s="280" t="s">
        <v>267</v>
      </c>
      <c r="O3" s="140"/>
    </row>
    <row r="4" spans="2:37" x14ac:dyDescent="0.25">
      <c r="M4" s="140" t="s">
        <v>160</v>
      </c>
      <c r="N4" s="280" t="s">
        <v>268</v>
      </c>
      <c r="O4" s="140"/>
    </row>
    <row r="5" spans="2:37" ht="32.450000000000003" customHeight="1" x14ac:dyDescent="0.25">
      <c r="B5" s="355" t="s">
        <v>231</v>
      </c>
      <c r="C5" s="355"/>
      <c r="D5" s="355"/>
      <c r="E5" s="355"/>
      <c r="F5" s="355"/>
      <c r="G5" s="355"/>
      <c r="H5" s="355"/>
      <c r="N5" s="280" t="s">
        <v>269</v>
      </c>
    </row>
    <row r="6" spans="2:37" x14ac:dyDescent="0.25">
      <c r="M6" s="140"/>
      <c r="N6" s="280" t="s">
        <v>270</v>
      </c>
      <c r="O6" s="140"/>
    </row>
    <row r="7" spans="2:37" ht="18.75" x14ac:dyDescent="0.3">
      <c r="B7" s="112" t="s">
        <v>158</v>
      </c>
      <c r="C7" s="113"/>
      <c r="D7" s="113"/>
      <c r="E7" s="113"/>
      <c r="F7" s="113"/>
      <c r="G7" s="57"/>
      <c r="H7" s="57"/>
      <c r="I7" s="57"/>
      <c r="J7" s="23"/>
      <c r="M7" s="140"/>
      <c r="N7" s="280" t="s">
        <v>271</v>
      </c>
      <c r="O7" s="140"/>
    </row>
    <row r="8" spans="2:37" x14ac:dyDescent="0.25">
      <c r="M8" s="140"/>
      <c r="N8" s="280" t="s">
        <v>272</v>
      </c>
      <c r="O8" s="140"/>
    </row>
    <row r="9" spans="2:37" ht="15.75" x14ac:dyDescent="0.25">
      <c r="B9" s="352" t="s">
        <v>159</v>
      </c>
      <c r="C9" s="352"/>
      <c r="D9" s="352"/>
      <c r="E9" s="352"/>
      <c r="F9" s="352"/>
      <c r="M9" s="140"/>
      <c r="O9" s="140"/>
    </row>
    <row r="10" spans="2:37" ht="5.45" customHeight="1" x14ac:dyDescent="0.25">
      <c r="B10" s="115"/>
      <c r="C10" s="115"/>
      <c r="D10" s="115"/>
      <c r="E10" s="115"/>
      <c r="F10" s="115"/>
      <c r="G10" s="115"/>
      <c r="H10" s="115"/>
      <c r="I10" s="115"/>
      <c r="J10" s="115"/>
      <c r="K10" s="115"/>
      <c r="L10" s="115"/>
      <c r="M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2:37" ht="30" x14ac:dyDescent="0.25">
      <c r="B11" s="80"/>
      <c r="C11" s="147" t="s">
        <v>200</v>
      </c>
      <c r="D11" s="28" t="s">
        <v>162</v>
      </c>
      <c r="E11" s="51" t="s">
        <v>266</v>
      </c>
      <c r="F11" s="51" t="s">
        <v>265</v>
      </c>
    </row>
    <row r="12" spans="2:37" x14ac:dyDescent="0.25">
      <c r="B12" s="52" t="s">
        <v>283</v>
      </c>
      <c r="C12" s="139" t="s">
        <v>161</v>
      </c>
      <c r="D12" s="139" t="s">
        <v>161</v>
      </c>
      <c r="E12" s="139" t="s">
        <v>270</v>
      </c>
      <c r="F12" s="139"/>
    </row>
    <row r="13" spans="2:37" x14ac:dyDescent="0.25">
      <c r="B13" s="52" t="s">
        <v>284</v>
      </c>
      <c r="C13" s="139" t="s">
        <v>161</v>
      </c>
      <c r="D13" s="139" t="s">
        <v>161</v>
      </c>
      <c r="E13" s="139" t="s">
        <v>270</v>
      </c>
      <c r="F13" s="139"/>
    </row>
    <row r="14" spans="2:37" x14ac:dyDescent="0.25">
      <c r="B14" s="52" t="s">
        <v>285</v>
      </c>
      <c r="C14" s="139" t="s">
        <v>161</v>
      </c>
      <c r="D14" s="139" t="s">
        <v>161</v>
      </c>
      <c r="E14" s="139" t="s">
        <v>270</v>
      </c>
      <c r="F14" s="139"/>
    </row>
    <row r="15" spans="2:37" x14ac:dyDescent="0.25">
      <c r="B15" s="52" t="s">
        <v>286</v>
      </c>
      <c r="C15" s="139" t="s">
        <v>160</v>
      </c>
      <c r="D15" s="139" t="s">
        <v>161</v>
      </c>
      <c r="E15" s="139" t="s">
        <v>267</v>
      </c>
      <c r="F15" s="139"/>
    </row>
    <row r="16" spans="2:37" x14ac:dyDescent="0.25">
      <c r="B16" s="52" t="s">
        <v>287</v>
      </c>
      <c r="C16" s="139" t="s">
        <v>160</v>
      </c>
      <c r="D16" s="139" t="s">
        <v>161</v>
      </c>
      <c r="E16" s="139" t="s">
        <v>267</v>
      </c>
      <c r="F16" s="139"/>
    </row>
    <row r="17" spans="2:6" x14ac:dyDescent="0.25">
      <c r="B17" s="52" t="s">
        <v>288</v>
      </c>
      <c r="C17" s="139" t="s">
        <v>160</v>
      </c>
      <c r="D17" s="139" t="s">
        <v>161</v>
      </c>
      <c r="E17" s="139" t="s">
        <v>267</v>
      </c>
      <c r="F17" s="139"/>
    </row>
    <row r="18" spans="2:6" x14ac:dyDescent="0.25">
      <c r="B18" s="52" t="s">
        <v>289</v>
      </c>
      <c r="C18" s="139" t="s">
        <v>161</v>
      </c>
      <c r="D18" s="139" t="s">
        <v>161</v>
      </c>
      <c r="E18" s="139" t="s">
        <v>267</v>
      </c>
      <c r="F18" s="139"/>
    </row>
    <row r="19" spans="2:6" x14ac:dyDescent="0.25">
      <c r="B19" s="52" t="s">
        <v>290</v>
      </c>
      <c r="C19" s="139" t="s">
        <v>160</v>
      </c>
      <c r="D19" s="139" t="s">
        <v>161</v>
      </c>
      <c r="E19" s="139" t="s">
        <v>267</v>
      </c>
      <c r="F19" s="139"/>
    </row>
    <row r="20" spans="2:6" x14ac:dyDescent="0.25">
      <c r="B20" s="52" t="s">
        <v>291</v>
      </c>
      <c r="C20" s="139" t="s">
        <v>161</v>
      </c>
      <c r="D20" s="139" t="s">
        <v>161</v>
      </c>
      <c r="E20" s="139" t="s">
        <v>267</v>
      </c>
      <c r="F20" s="139"/>
    </row>
    <row r="21" spans="2:6" x14ac:dyDescent="0.25">
      <c r="B21" s="52" t="s">
        <v>307</v>
      </c>
      <c r="C21" s="139" t="s">
        <v>160</v>
      </c>
      <c r="D21" s="139" t="s">
        <v>161</v>
      </c>
      <c r="E21" s="139" t="s">
        <v>270</v>
      </c>
      <c r="F21" s="139"/>
    </row>
    <row r="22" spans="2:6" x14ac:dyDescent="0.25">
      <c r="B22" s="52" t="s">
        <v>304</v>
      </c>
      <c r="C22" s="139" t="s">
        <v>160</v>
      </c>
      <c r="D22" s="139" t="s">
        <v>161</v>
      </c>
      <c r="E22" s="139" t="s">
        <v>270</v>
      </c>
      <c r="F22" s="139"/>
    </row>
    <row r="23" spans="2:6" x14ac:dyDescent="0.25">
      <c r="B23" s="52" t="s">
        <v>305</v>
      </c>
      <c r="C23" s="139" t="s">
        <v>160</v>
      </c>
      <c r="D23" s="139" t="s">
        <v>161</v>
      </c>
      <c r="E23" s="139" t="s">
        <v>270</v>
      </c>
      <c r="F23" s="139"/>
    </row>
    <row r="24" spans="2:6" x14ac:dyDescent="0.25">
      <c r="B24" s="52" t="s">
        <v>306</v>
      </c>
      <c r="C24" s="139" t="s">
        <v>160</v>
      </c>
      <c r="D24" s="139" t="s">
        <v>161</v>
      </c>
      <c r="E24" s="139" t="s">
        <v>270</v>
      </c>
      <c r="F24" s="139"/>
    </row>
    <row r="25" spans="2:6" x14ac:dyDescent="0.25">
      <c r="B25" s="52" t="s">
        <v>308</v>
      </c>
      <c r="C25" s="139" t="s">
        <v>160</v>
      </c>
      <c r="D25" s="139" t="s">
        <v>161</v>
      </c>
      <c r="E25" s="139" t="s">
        <v>270</v>
      </c>
      <c r="F25" s="139"/>
    </row>
    <row r="26" spans="2:6" x14ac:dyDescent="0.25">
      <c r="B26" s="52"/>
      <c r="C26" s="139"/>
      <c r="D26" s="139"/>
      <c r="E26" s="139"/>
      <c r="F26" s="139"/>
    </row>
    <row r="27" spans="2:6" x14ac:dyDescent="0.25">
      <c r="B27" s="349" t="s">
        <v>90</v>
      </c>
      <c r="C27" s="350"/>
      <c r="D27" s="350"/>
      <c r="E27" s="350"/>
      <c r="F27" s="351"/>
    </row>
    <row r="28" spans="2:6" x14ac:dyDescent="0.25">
      <c r="B28" s="17" t="s">
        <v>163</v>
      </c>
    </row>
  </sheetData>
  <mergeCells count="5">
    <mergeCell ref="B27:F27"/>
    <mergeCell ref="B9:F9"/>
    <mergeCell ref="C2:H2"/>
    <mergeCell ref="J2:L2"/>
    <mergeCell ref="B5:H5"/>
  </mergeCells>
  <dataValidations count="2">
    <dataValidation type="list" allowBlank="1" showInputMessage="1" showErrorMessage="1" sqref="C12:D26" xr:uid="{A64E2A34-00E1-4D2D-92A8-78832A48E352}">
      <formula1>$M$3:$M$4</formula1>
    </dataValidation>
    <dataValidation type="list" allowBlank="1" showInputMessage="1" showErrorMessage="1" sqref="E12:E26" xr:uid="{9ABAC8EA-94CC-4B6E-B58F-56A0549892BD}">
      <formula1>$N$3:$N$9</formula1>
    </dataValidation>
  </dataValidations>
  <hyperlinks>
    <hyperlink ref="J2" location="'Αρχική σελίδα'!A1" display="Πίσω στην αρχική σελίδα" xr:uid="{CF1525D8-F5D2-4378-A877-2F32646769F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pageSetUpPr fitToPage="1"/>
  </sheetPr>
  <dimension ref="B2:R274"/>
  <sheetViews>
    <sheetView showGridLines="0" topLeftCell="A69" zoomScale="85" zoomScaleNormal="85" workbookViewId="0">
      <selection activeCell="I81" sqref="I81"/>
    </sheetView>
  </sheetViews>
  <sheetFormatPr defaultRowHeight="15" outlineLevelRow="2" x14ac:dyDescent="0.25"/>
  <cols>
    <col min="1" max="1" width="2.85546875" customWidth="1"/>
    <col min="2" max="2" width="27.7109375" customWidth="1"/>
    <col min="3" max="3" width="11.85546875" customWidth="1"/>
    <col min="4" max="7" width="13.42578125" customWidth="1"/>
    <col min="8" max="8" width="18.140625" customWidth="1"/>
    <col min="9" max="9" width="14.85546875" customWidth="1"/>
    <col min="10" max="10" width="13.7109375" customWidth="1"/>
    <col min="11" max="11" width="13" customWidth="1"/>
    <col min="12" max="12" width="12.7109375" customWidth="1"/>
    <col min="13" max="13" width="15" customWidth="1"/>
  </cols>
  <sheetData>
    <row r="2" spans="2:13" ht="18.75" x14ac:dyDescent="0.3">
      <c r="B2" s="1" t="s">
        <v>1</v>
      </c>
      <c r="C2" s="353" t="str">
        <f>'Αρχική σελίδα'!C3</f>
        <v>HENGAS</v>
      </c>
      <c r="D2" s="353"/>
      <c r="E2" s="353"/>
      <c r="F2" s="353"/>
      <c r="G2" s="353"/>
      <c r="H2" s="353"/>
      <c r="J2" s="354" t="s">
        <v>213</v>
      </c>
      <c r="K2" s="354"/>
      <c r="L2" s="354"/>
    </row>
    <row r="3" spans="2:13" ht="18.75" x14ac:dyDescent="0.3">
      <c r="B3" s="2" t="s">
        <v>2</v>
      </c>
      <c r="C3" s="111">
        <f>'Αρχική σελίδα'!C4</f>
        <v>2023</v>
      </c>
      <c r="D3" s="48" t="s">
        <v>0</v>
      </c>
      <c r="E3" s="48">
        <f>C3+4</f>
        <v>2027</v>
      </c>
    </row>
    <row r="5" spans="2:13" ht="72.599999999999994" customHeight="1" x14ac:dyDescent="0.25">
      <c r="B5" s="355" t="s">
        <v>281</v>
      </c>
      <c r="C5" s="355"/>
      <c r="D5" s="355"/>
      <c r="E5" s="355"/>
      <c r="F5" s="355"/>
      <c r="G5" s="355"/>
      <c r="H5" s="355"/>
      <c r="I5" s="355"/>
    </row>
    <row r="6" spans="2:13" x14ac:dyDescent="0.25">
      <c r="B6" s="270"/>
      <c r="C6" s="270"/>
      <c r="D6" s="270"/>
      <c r="E6" s="270"/>
      <c r="F6" s="270"/>
      <c r="G6" s="270"/>
      <c r="H6" s="270"/>
    </row>
    <row r="7" spans="2:13" ht="18.75" x14ac:dyDescent="0.3">
      <c r="B7" s="112" t="s">
        <v>134</v>
      </c>
      <c r="C7" s="113"/>
      <c r="D7" s="113"/>
      <c r="E7" s="113"/>
      <c r="F7" s="113"/>
      <c r="G7" s="113"/>
      <c r="H7" s="113"/>
      <c r="I7" s="113"/>
      <c r="J7" s="113"/>
      <c r="K7" s="113"/>
      <c r="L7" s="113"/>
    </row>
    <row r="9" spans="2:13" ht="15.75" x14ac:dyDescent="0.25">
      <c r="B9" s="352" t="s">
        <v>135</v>
      </c>
      <c r="C9" s="352"/>
      <c r="D9" s="352"/>
      <c r="E9" s="352"/>
      <c r="F9" s="352"/>
      <c r="G9" s="352"/>
      <c r="H9" s="352"/>
      <c r="I9" s="352"/>
    </row>
    <row r="10" spans="2:13" ht="6.6" customHeight="1" x14ac:dyDescent="0.25"/>
    <row r="11" spans="2:13" outlineLevel="1" x14ac:dyDescent="0.25">
      <c r="B11" s="299" t="s">
        <v>203</v>
      </c>
      <c r="C11" s="300"/>
      <c r="D11" s="300"/>
      <c r="E11" s="300"/>
      <c r="F11" s="300"/>
      <c r="G11" s="300"/>
      <c r="H11" s="300"/>
      <c r="I11" s="300"/>
    </row>
    <row r="12" spans="2:13" outlineLevel="2" x14ac:dyDescent="0.25">
      <c r="B12" s="301"/>
      <c r="C12" s="302" t="s">
        <v>20</v>
      </c>
      <c r="D12" s="303">
        <f>'Αρχική σελίδα'!C4</f>
        <v>2023</v>
      </c>
      <c r="E12" s="303">
        <f>D12+1</f>
        <v>2024</v>
      </c>
      <c r="F12" s="303">
        <f t="shared" ref="F12:H12" si="0">E12+1</f>
        <v>2025</v>
      </c>
      <c r="G12" s="303">
        <f t="shared" si="0"/>
        <v>2026</v>
      </c>
      <c r="H12" s="303">
        <f t="shared" si="0"/>
        <v>2027</v>
      </c>
      <c r="I12" s="304" t="str">
        <f>D12&amp; " - "&amp;H12</f>
        <v>2023 - 2027</v>
      </c>
    </row>
    <row r="13" spans="2:13" outlineLevel="2" x14ac:dyDescent="0.25">
      <c r="B13" s="305" t="s">
        <v>283</v>
      </c>
      <c r="C13" s="306" t="s">
        <v>22</v>
      </c>
      <c r="D13" s="307">
        <f>109+13</f>
        <v>122</v>
      </c>
      <c r="E13" s="307">
        <f>170+15</f>
        <v>185</v>
      </c>
      <c r="F13" s="307">
        <f>88+17</f>
        <v>105</v>
      </c>
      <c r="G13" s="307">
        <f>10+20</f>
        <v>30</v>
      </c>
      <c r="H13" s="307">
        <v>16</v>
      </c>
      <c r="I13" s="308">
        <f>D13+E13+F13+G13+H13</f>
        <v>458</v>
      </c>
      <c r="K13" s="40"/>
      <c r="L13" s="40"/>
      <c r="M13" s="40"/>
    </row>
    <row r="14" spans="2:13" outlineLevel="2" x14ac:dyDescent="0.25">
      <c r="B14" s="305" t="s">
        <v>284</v>
      </c>
      <c r="C14" s="306" t="s">
        <v>22</v>
      </c>
      <c r="D14" s="307">
        <f>150+29</f>
        <v>179</v>
      </c>
      <c r="E14" s="307">
        <f>226+34</f>
        <v>260</v>
      </c>
      <c r="F14" s="307">
        <f>215+39</f>
        <v>254</v>
      </c>
      <c r="G14" s="307">
        <f>24+44</f>
        <v>68</v>
      </c>
      <c r="H14" s="307">
        <v>14</v>
      </c>
      <c r="I14" s="308">
        <f t="shared" ref="I14:I27" si="1">D14+E14+F14+G14+H14</f>
        <v>775</v>
      </c>
      <c r="K14" s="40"/>
      <c r="L14" s="40"/>
      <c r="M14" s="40"/>
    </row>
    <row r="15" spans="2:13" outlineLevel="2" x14ac:dyDescent="0.25">
      <c r="B15" s="305" t="s">
        <v>285</v>
      </c>
      <c r="C15" s="306" t="s">
        <v>22</v>
      </c>
      <c r="D15" s="307">
        <f>138+30</f>
        <v>168</v>
      </c>
      <c r="E15" s="307">
        <f>220+35</f>
        <v>255</v>
      </c>
      <c r="F15" s="307">
        <f>166+40</f>
        <v>206</v>
      </c>
      <c r="G15" s="307">
        <f>18+46</f>
        <v>64</v>
      </c>
      <c r="H15" s="307">
        <v>32</v>
      </c>
      <c r="I15" s="308">
        <f>D15+E15+F15+G15+H15</f>
        <v>725</v>
      </c>
      <c r="K15" s="40"/>
      <c r="L15" s="40"/>
      <c r="M15" s="40"/>
    </row>
    <row r="16" spans="2:13" outlineLevel="2" x14ac:dyDescent="0.25">
      <c r="B16" s="305" t="s">
        <v>286</v>
      </c>
      <c r="C16" s="306" t="s">
        <v>22</v>
      </c>
      <c r="D16" s="307">
        <f>148+87</f>
        <v>235</v>
      </c>
      <c r="E16" s="307">
        <f>956+114</f>
        <v>1070</v>
      </c>
      <c r="F16" s="307">
        <f>698+112</f>
        <v>810</v>
      </c>
      <c r="G16" s="307">
        <f>139+138</f>
        <v>277</v>
      </c>
      <c r="H16" s="307">
        <v>138</v>
      </c>
      <c r="I16" s="308">
        <f t="shared" si="1"/>
        <v>2530</v>
      </c>
      <c r="K16" s="40"/>
      <c r="L16" s="40"/>
      <c r="M16" s="40"/>
    </row>
    <row r="17" spans="2:13" outlineLevel="2" x14ac:dyDescent="0.25">
      <c r="B17" s="305" t="s">
        <v>287</v>
      </c>
      <c r="C17" s="306" t="s">
        <v>22</v>
      </c>
      <c r="D17" s="307">
        <v>0</v>
      </c>
      <c r="E17" s="307">
        <f>520+280</f>
        <v>800</v>
      </c>
      <c r="F17" s="307">
        <f>528+220</f>
        <v>748</v>
      </c>
      <c r="G17" s="307">
        <f>386+300</f>
        <v>686</v>
      </c>
      <c r="H17" s="307">
        <v>344</v>
      </c>
      <c r="I17" s="308">
        <f t="shared" si="1"/>
        <v>2578</v>
      </c>
      <c r="K17" s="40"/>
      <c r="L17" s="40"/>
      <c r="M17" s="40"/>
    </row>
    <row r="18" spans="2:13" outlineLevel="2" x14ac:dyDescent="0.25">
      <c r="B18" s="305" t="s">
        <v>288</v>
      </c>
      <c r="C18" s="306" t="s">
        <v>22</v>
      </c>
      <c r="D18" s="307">
        <v>195</v>
      </c>
      <c r="E18" s="307">
        <f>340+20</f>
        <v>360</v>
      </c>
      <c r="F18" s="307">
        <f>168+50</f>
        <v>218</v>
      </c>
      <c r="G18" s="307">
        <v>50</v>
      </c>
      <c r="H18" s="307">
        <v>25</v>
      </c>
      <c r="I18" s="308">
        <f t="shared" si="1"/>
        <v>848</v>
      </c>
      <c r="K18" s="40"/>
      <c r="L18" s="40"/>
      <c r="M18" s="40"/>
    </row>
    <row r="19" spans="2:13" outlineLevel="2" x14ac:dyDescent="0.25">
      <c r="B19" s="305" t="s">
        <v>289</v>
      </c>
      <c r="C19" s="306" t="s">
        <v>22</v>
      </c>
      <c r="D19" s="307">
        <f>274</f>
        <v>274</v>
      </c>
      <c r="E19" s="307">
        <f>1375+74</f>
        <v>1449</v>
      </c>
      <c r="F19" s="307">
        <f>952+98</f>
        <v>1050</v>
      </c>
      <c r="G19" s="307">
        <f>927+123</f>
        <v>1050</v>
      </c>
      <c r="H19" s="307">
        <v>525</v>
      </c>
      <c r="I19" s="308">
        <f t="shared" si="1"/>
        <v>4348</v>
      </c>
      <c r="K19" s="40"/>
      <c r="L19" s="40"/>
      <c r="M19" s="40"/>
    </row>
    <row r="20" spans="2:13" outlineLevel="2" x14ac:dyDescent="0.25">
      <c r="B20" s="305" t="s">
        <v>290</v>
      </c>
      <c r="C20" s="306" t="s">
        <v>22</v>
      </c>
      <c r="D20" s="307">
        <v>362</v>
      </c>
      <c r="E20" s="307">
        <f>1089+310</f>
        <v>1399</v>
      </c>
      <c r="F20" s="307">
        <f>902+327</f>
        <v>1229</v>
      </c>
      <c r="G20" s="307">
        <f>639+411</f>
        <v>1050</v>
      </c>
      <c r="H20" s="307">
        <v>525</v>
      </c>
      <c r="I20" s="308">
        <f t="shared" si="1"/>
        <v>4565</v>
      </c>
      <c r="K20" s="40"/>
      <c r="L20" s="40"/>
      <c r="M20" s="40"/>
    </row>
    <row r="21" spans="2:13" outlineLevel="2" x14ac:dyDescent="0.25">
      <c r="B21" s="305" t="s">
        <v>291</v>
      </c>
      <c r="C21" s="306" t="s">
        <v>22</v>
      </c>
      <c r="D21" s="307">
        <f>115+32</f>
        <v>147</v>
      </c>
      <c r="E21" s="307">
        <f>66+45</f>
        <v>111</v>
      </c>
      <c r="F21" s="307">
        <f>18+7</f>
        <v>25</v>
      </c>
      <c r="G21" s="307">
        <f>20+5</f>
        <v>25</v>
      </c>
      <c r="H21" s="307">
        <v>17</v>
      </c>
      <c r="I21" s="308">
        <f t="shared" si="1"/>
        <v>325</v>
      </c>
      <c r="K21" s="40"/>
      <c r="L21" s="40"/>
      <c r="M21" s="40"/>
    </row>
    <row r="22" spans="2:13" outlineLevel="2" x14ac:dyDescent="0.25">
      <c r="B22" s="305" t="s">
        <v>307</v>
      </c>
      <c r="C22" s="306" t="s">
        <v>22</v>
      </c>
      <c r="D22" s="307">
        <f>50+5</f>
        <v>55</v>
      </c>
      <c r="E22" s="307">
        <f>80+5</f>
        <v>85</v>
      </c>
      <c r="F22" s="307">
        <f>80+10</f>
        <v>90</v>
      </c>
      <c r="G22" s="307">
        <f>50+5</f>
        <v>55</v>
      </c>
      <c r="H22" s="307">
        <f>40+5</f>
        <v>45</v>
      </c>
      <c r="I22" s="308">
        <f t="shared" si="1"/>
        <v>330</v>
      </c>
      <c r="K22" s="40"/>
      <c r="L22" s="40"/>
      <c r="M22" s="40"/>
    </row>
    <row r="23" spans="2:13" outlineLevel="2" x14ac:dyDescent="0.25">
      <c r="B23" s="305" t="s">
        <v>304</v>
      </c>
      <c r="C23" s="306" t="s">
        <v>22</v>
      </c>
      <c r="D23" s="307">
        <f>50+5</f>
        <v>55</v>
      </c>
      <c r="E23" s="307">
        <f>80+5</f>
        <v>85</v>
      </c>
      <c r="F23" s="307">
        <f>120+20</f>
        <v>140</v>
      </c>
      <c r="G23" s="307">
        <f>60+5</f>
        <v>65</v>
      </c>
      <c r="H23" s="307">
        <f>40+5</f>
        <v>45</v>
      </c>
      <c r="I23" s="308">
        <f t="shared" si="1"/>
        <v>390</v>
      </c>
      <c r="K23" s="40"/>
      <c r="L23" s="40"/>
      <c r="M23" s="40"/>
    </row>
    <row r="24" spans="2:13" outlineLevel="2" x14ac:dyDescent="0.25">
      <c r="B24" s="305" t="s">
        <v>305</v>
      </c>
      <c r="C24" s="306" t="s">
        <v>22</v>
      </c>
      <c r="D24" s="307">
        <f>50+5</f>
        <v>55</v>
      </c>
      <c r="E24" s="307">
        <f>80+5</f>
        <v>85</v>
      </c>
      <c r="F24" s="307">
        <f>100+20</f>
        <v>120</v>
      </c>
      <c r="G24" s="307">
        <f>50+5</f>
        <v>55</v>
      </c>
      <c r="H24" s="307">
        <f>40+5</f>
        <v>45</v>
      </c>
      <c r="I24" s="308">
        <f t="shared" si="1"/>
        <v>360</v>
      </c>
      <c r="K24" s="40"/>
      <c r="L24" s="40"/>
      <c r="M24" s="40"/>
    </row>
    <row r="25" spans="2:13" outlineLevel="2" x14ac:dyDescent="0.25">
      <c r="B25" s="305" t="s">
        <v>306</v>
      </c>
      <c r="C25" s="306" t="s">
        <v>22</v>
      </c>
      <c r="D25" s="307">
        <f>90+16</f>
        <v>106</v>
      </c>
      <c r="E25" s="307">
        <f>104+20</f>
        <v>124</v>
      </c>
      <c r="F25" s="307">
        <f>132+30</f>
        <v>162</v>
      </c>
      <c r="G25" s="307">
        <f>150+9</f>
        <v>159</v>
      </c>
      <c r="H25" s="307">
        <v>100</v>
      </c>
      <c r="I25" s="308">
        <f t="shared" si="1"/>
        <v>651</v>
      </c>
      <c r="K25" s="40"/>
      <c r="L25" s="40"/>
      <c r="M25" s="40"/>
    </row>
    <row r="26" spans="2:13" outlineLevel="2" x14ac:dyDescent="0.25">
      <c r="B26" s="305" t="s">
        <v>308</v>
      </c>
      <c r="C26" s="306" t="s">
        <v>22</v>
      </c>
      <c r="D26" s="307">
        <f>70+15</f>
        <v>85</v>
      </c>
      <c r="E26" s="307">
        <f>80+20</f>
        <v>100</v>
      </c>
      <c r="F26" s="307">
        <f>100+22</f>
        <v>122</v>
      </c>
      <c r="G26" s="307">
        <f>80+20</f>
        <v>100</v>
      </c>
      <c r="H26" s="307">
        <v>100</v>
      </c>
      <c r="I26" s="308">
        <f t="shared" si="1"/>
        <v>507</v>
      </c>
      <c r="K26" s="40"/>
      <c r="L26" s="40"/>
      <c r="M26" s="40"/>
    </row>
    <row r="27" spans="2:13" outlineLevel="2" x14ac:dyDescent="0.25">
      <c r="B27" s="305"/>
      <c r="C27" s="306"/>
      <c r="D27" s="307"/>
      <c r="E27" s="307"/>
      <c r="F27" s="307"/>
      <c r="G27" s="307"/>
      <c r="H27" s="307"/>
      <c r="I27" s="308">
        <f t="shared" si="1"/>
        <v>0</v>
      </c>
      <c r="K27" s="40"/>
      <c r="L27" s="40"/>
      <c r="M27" s="40"/>
    </row>
    <row r="28" spans="2:13" ht="15" customHeight="1" outlineLevel="2" x14ac:dyDescent="0.25">
      <c r="B28" s="358" t="s">
        <v>90</v>
      </c>
      <c r="C28" s="359"/>
      <c r="D28" s="359"/>
      <c r="E28" s="359"/>
      <c r="F28" s="359"/>
      <c r="G28" s="359"/>
      <c r="H28" s="359"/>
      <c r="I28" s="360"/>
    </row>
    <row r="29" spans="2:13" outlineLevel="2" x14ac:dyDescent="0.25">
      <c r="B29" s="305" t="s">
        <v>84</v>
      </c>
      <c r="C29" s="309" t="s">
        <v>22</v>
      </c>
      <c r="D29" s="310">
        <f>SUM(D13:D27)</f>
        <v>2038</v>
      </c>
      <c r="E29" s="310">
        <f>SUM(E13:E27)</f>
        <v>6368</v>
      </c>
      <c r="F29" s="310">
        <f>SUM(F13:F27)</f>
        <v>5279</v>
      </c>
      <c r="G29" s="310">
        <f>SUM(G13:G27)</f>
        <v>3734</v>
      </c>
      <c r="H29" s="310">
        <f>SUM(H13:H27)</f>
        <v>1971</v>
      </c>
      <c r="I29" s="308">
        <f>D29+E29+F29+G29+H29</f>
        <v>19390</v>
      </c>
    </row>
    <row r="30" spans="2:13" outlineLevel="1" x14ac:dyDescent="0.25">
      <c r="B30" s="311"/>
      <c r="C30" s="311"/>
      <c r="D30" s="311"/>
      <c r="E30" s="311"/>
      <c r="F30" s="311"/>
      <c r="G30" s="311"/>
      <c r="H30" s="311"/>
      <c r="I30" s="311"/>
    </row>
    <row r="31" spans="2:13" outlineLevel="1" x14ac:dyDescent="0.25">
      <c r="B31" s="299" t="s">
        <v>205</v>
      </c>
      <c r="C31" s="300"/>
      <c r="D31" s="300"/>
      <c r="E31" s="300"/>
      <c r="F31" s="300"/>
      <c r="G31" s="300"/>
      <c r="H31" s="300"/>
      <c r="I31" s="300"/>
    </row>
    <row r="32" spans="2:13" outlineLevel="2" x14ac:dyDescent="0.25">
      <c r="B32" s="301"/>
      <c r="C32" s="302" t="s">
        <v>20</v>
      </c>
      <c r="D32" s="303">
        <f>$C$3</f>
        <v>2023</v>
      </c>
      <c r="E32" s="303">
        <f>$C$3+1</f>
        <v>2024</v>
      </c>
      <c r="F32" s="303">
        <f>$C$3+2</f>
        <v>2025</v>
      </c>
      <c r="G32" s="303">
        <f>$C$3+3</f>
        <v>2026</v>
      </c>
      <c r="H32" s="303">
        <f>$C$3+4</f>
        <v>2027</v>
      </c>
      <c r="I32" s="304" t="str">
        <f>D32&amp; "-"&amp;H32</f>
        <v>2023-2027</v>
      </c>
    </row>
    <row r="33" spans="2:9" outlineLevel="2" x14ac:dyDescent="0.25">
      <c r="B33" s="305" t="s">
        <v>283</v>
      </c>
      <c r="C33" s="306" t="s">
        <v>22</v>
      </c>
      <c r="D33" s="307">
        <f t="shared" ref="D33:E41" si="2">D13</f>
        <v>122</v>
      </c>
      <c r="E33" s="307">
        <f t="shared" si="2"/>
        <v>185</v>
      </c>
      <c r="F33" s="307">
        <f t="shared" ref="F33:H33" si="3">F13</f>
        <v>105</v>
      </c>
      <c r="G33" s="307">
        <f t="shared" si="3"/>
        <v>30</v>
      </c>
      <c r="H33" s="307">
        <f t="shared" si="3"/>
        <v>16</v>
      </c>
      <c r="I33" s="308">
        <f t="shared" ref="I33:I47" si="4">D33+E33+F33+G33+H33</f>
        <v>458</v>
      </c>
    </row>
    <row r="34" spans="2:9" outlineLevel="2" x14ac:dyDescent="0.25">
      <c r="B34" s="305" t="s">
        <v>284</v>
      </c>
      <c r="C34" s="306" t="s">
        <v>22</v>
      </c>
      <c r="D34" s="307">
        <f t="shared" si="2"/>
        <v>179</v>
      </c>
      <c r="E34" s="307">
        <f t="shared" si="2"/>
        <v>260</v>
      </c>
      <c r="F34" s="307">
        <f t="shared" ref="F34:H41" si="5">F14</f>
        <v>254</v>
      </c>
      <c r="G34" s="307">
        <f t="shared" si="5"/>
        <v>68</v>
      </c>
      <c r="H34" s="307">
        <f t="shared" si="5"/>
        <v>14</v>
      </c>
      <c r="I34" s="308">
        <f t="shared" si="4"/>
        <v>775</v>
      </c>
    </row>
    <row r="35" spans="2:9" outlineLevel="2" x14ac:dyDescent="0.25">
      <c r="B35" s="305" t="s">
        <v>285</v>
      </c>
      <c r="C35" s="306" t="s">
        <v>22</v>
      </c>
      <c r="D35" s="307">
        <f t="shared" si="2"/>
        <v>168</v>
      </c>
      <c r="E35" s="307">
        <f t="shared" si="2"/>
        <v>255</v>
      </c>
      <c r="F35" s="307">
        <f t="shared" si="5"/>
        <v>206</v>
      </c>
      <c r="G35" s="307">
        <f t="shared" si="5"/>
        <v>64</v>
      </c>
      <c r="H35" s="307">
        <f t="shared" si="5"/>
        <v>32</v>
      </c>
      <c r="I35" s="308">
        <f t="shared" si="4"/>
        <v>725</v>
      </c>
    </row>
    <row r="36" spans="2:9" outlineLevel="2" x14ac:dyDescent="0.25">
      <c r="B36" s="305" t="s">
        <v>286</v>
      </c>
      <c r="C36" s="306" t="s">
        <v>22</v>
      </c>
      <c r="D36" s="307">
        <f t="shared" si="2"/>
        <v>235</v>
      </c>
      <c r="E36" s="307">
        <f t="shared" si="2"/>
        <v>1070</v>
      </c>
      <c r="F36" s="307">
        <f t="shared" si="5"/>
        <v>810</v>
      </c>
      <c r="G36" s="307">
        <f t="shared" si="5"/>
        <v>277</v>
      </c>
      <c r="H36" s="307">
        <f t="shared" si="5"/>
        <v>138</v>
      </c>
      <c r="I36" s="308">
        <f t="shared" si="4"/>
        <v>2530</v>
      </c>
    </row>
    <row r="37" spans="2:9" outlineLevel="2" x14ac:dyDescent="0.25">
      <c r="B37" s="305" t="s">
        <v>287</v>
      </c>
      <c r="C37" s="306" t="s">
        <v>22</v>
      </c>
      <c r="D37" s="307">
        <f t="shared" si="2"/>
        <v>0</v>
      </c>
      <c r="E37" s="307">
        <f t="shared" si="2"/>
        <v>800</v>
      </c>
      <c r="F37" s="307">
        <f t="shared" si="5"/>
        <v>748</v>
      </c>
      <c r="G37" s="307">
        <f t="shared" si="5"/>
        <v>686</v>
      </c>
      <c r="H37" s="307">
        <f t="shared" si="5"/>
        <v>344</v>
      </c>
      <c r="I37" s="308">
        <f t="shared" si="4"/>
        <v>2578</v>
      </c>
    </row>
    <row r="38" spans="2:9" outlineLevel="2" x14ac:dyDescent="0.25">
      <c r="B38" s="305" t="s">
        <v>288</v>
      </c>
      <c r="C38" s="306" t="s">
        <v>22</v>
      </c>
      <c r="D38" s="307">
        <f t="shared" si="2"/>
        <v>195</v>
      </c>
      <c r="E38" s="307">
        <f t="shared" si="2"/>
        <v>360</v>
      </c>
      <c r="F38" s="307">
        <f t="shared" si="5"/>
        <v>218</v>
      </c>
      <c r="G38" s="307">
        <f t="shared" si="5"/>
        <v>50</v>
      </c>
      <c r="H38" s="307">
        <f t="shared" si="5"/>
        <v>25</v>
      </c>
      <c r="I38" s="308">
        <f t="shared" si="4"/>
        <v>848</v>
      </c>
    </row>
    <row r="39" spans="2:9" outlineLevel="2" x14ac:dyDescent="0.25">
      <c r="B39" s="305" t="s">
        <v>289</v>
      </c>
      <c r="C39" s="306" t="s">
        <v>22</v>
      </c>
      <c r="D39" s="307">
        <f t="shared" si="2"/>
        <v>274</v>
      </c>
      <c r="E39" s="307">
        <f t="shared" si="2"/>
        <v>1449</v>
      </c>
      <c r="F39" s="307">
        <f t="shared" si="5"/>
        <v>1050</v>
      </c>
      <c r="G39" s="307">
        <f t="shared" si="5"/>
        <v>1050</v>
      </c>
      <c r="H39" s="307">
        <f t="shared" si="5"/>
        <v>525</v>
      </c>
      <c r="I39" s="308">
        <f t="shared" si="4"/>
        <v>4348</v>
      </c>
    </row>
    <row r="40" spans="2:9" outlineLevel="2" x14ac:dyDescent="0.25">
      <c r="B40" s="305" t="s">
        <v>290</v>
      </c>
      <c r="C40" s="306" t="s">
        <v>22</v>
      </c>
      <c r="D40" s="307">
        <f t="shared" si="2"/>
        <v>362</v>
      </c>
      <c r="E40" s="307">
        <f t="shared" si="2"/>
        <v>1399</v>
      </c>
      <c r="F40" s="307">
        <f t="shared" si="5"/>
        <v>1229</v>
      </c>
      <c r="G40" s="307">
        <f t="shared" si="5"/>
        <v>1050</v>
      </c>
      <c r="H40" s="307">
        <f t="shared" si="5"/>
        <v>525</v>
      </c>
      <c r="I40" s="308">
        <f t="shared" si="4"/>
        <v>4565</v>
      </c>
    </row>
    <row r="41" spans="2:9" outlineLevel="2" x14ac:dyDescent="0.25">
      <c r="B41" s="305" t="s">
        <v>291</v>
      </c>
      <c r="C41" s="306" t="s">
        <v>22</v>
      </c>
      <c r="D41" s="307">
        <f t="shared" si="2"/>
        <v>147</v>
      </c>
      <c r="E41" s="307">
        <f t="shared" si="2"/>
        <v>111</v>
      </c>
      <c r="F41" s="307">
        <f t="shared" si="5"/>
        <v>25</v>
      </c>
      <c r="G41" s="307">
        <f t="shared" si="5"/>
        <v>25</v>
      </c>
      <c r="H41" s="307">
        <f t="shared" si="5"/>
        <v>17</v>
      </c>
      <c r="I41" s="308">
        <f t="shared" si="4"/>
        <v>325</v>
      </c>
    </row>
    <row r="42" spans="2:9" outlineLevel="2" x14ac:dyDescent="0.25">
      <c r="B42" s="305" t="s">
        <v>307</v>
      </c>
      <c r="C42" s="306" t="s">
        <v>22</v>
      </c>
      <c r="D42" s="307">
        <f>D22</f>
        <v>55</v>
      </c>
      <c r="E42" s="307">
        <f t="shared" ref="E42:H42" si="6">E22</f>
        <v>85</v>
      </c>
      <c r="F42" s="307">
        <f t="shared" si="6"/>
        <v>90</v>
      </c>
      <c r="G42" s="307">
        <f t="shared" si="6"/>
        <v>55</v>
      </c>
      <c r="H42" s="307">
        <f t="shared" si="6"/>
        <v>45</v>
      </c>
      <c r="I42" s="308">
        <f t="shared" si="4"/>
        <v>330</v>
      </c>
    </row>
    <row r="43" spans="2:9" outlineLevel="2" x14ac:dyDescent="0.25">
      <c r="B43" s="305" t="s">
        <v>304</v>
      </c>
      <c r="C43" s="306" t="s">
        <v>22</v>
      </c>
      <c r="D43" s="307">
        <f>D23</f>
        <v>55</v>
      </c>
      <c r="E43" s="307">
        <f t="shared" ref="E43:H43" si="7">E23</f>
        <v>85</v>
      </c>
      <c r="F43" s="307">
        <f t="shared" si="7"/>
        <v>140</v>
      </c>
      <c r="G43" s="307">
        <f t="shared" si="7"/>
        <v>65</v>
      </c>
      <c r="H43" s="307">
        <f t="shared" si="7"/>
        <v>45</v>
      </c>
      <c r="I43" s="308">
        <f t="shared" si="4"/>
        <v>390</v>
      </c>
    </row>
    <row r="44" spans="2:9" outlineLevel="2" x14ac:dyDescent="0.25">
      <c r="B44" s="305" t="s">
        <v>305</v>
      </c>
      <c r="C44" s="306" t="s">
        <v>22</v>
      </c>
      <c r="D44" s="307">
        <f>D24</f>
        <v>55</v>
      </c>
      <c r="E44" s="307">
        <f t="shared" ref="E44:H44" si="8">E24</f>
        <v>85</v>
      </c>
      <c r="F44" s="307">
        <f t="shared" si="8"/>
        <v>120</v>
      </c>
      <c r="G44" s="307">
        <f t="shared" si="8"/>
        <v>55</v>
      </c>
      <c r="H44" s="307">
        <f t="shared" si="8"/>
        <v>45</v>
      </c>
      <c r="I44" s="308">
        <f t="shared" si="4"/>
        <v>360</v>
      </c>
    </row>
    <row r="45" spans="2:9" outlineLevel="2" x14ac:dyDescent="0.25">
      <c r="B45" s="305" t="s">
        <v>306</v>
      </c>
      <c r="C45" s="306" t="s">
        <v>22</v>
      </c>
      <c r="D45" s="307">
        <f>D25</f>
        <v>106</v>
      </c>
      <c r="E45" s="307">
        <f t="shared" ref="E45:H45" si="9">E25</f>
        <v>124</v>
      </c>
      <c r="F45" s="307">
        <f t="shared" si="9"/>
        <v>162</v>
      </c>
      <c r="G45" s="307">
        <f t="shared" si="9"/>
        <v>159</v>
      </c>
      <c r="H45" s="307">
        <f t="shared" si="9"/>
        <v>100</v>
      </c>
      <c r="I45" s="308">
        <f t="shared" si="4"/>
        <v>651</v>
      </c>
    </row>
    <row r="46" spans="2:9" outlineLevel="2" x14ac:dyDescent="0.25">
      <c r="B46" s="305" t="s">
        <v>308</v>
      </c>
      <c r="C46" s="306" t="s">
        <v>22</v>
      </c>
      <c r="D46" s="307">
        <f>D26</f>
        <v>85</v>
      </c>
      <c r="E46" s="307">
        <f t="shared" ref="E46:H46" si="10">E26</f>
        <v>100</v>
      </c>
      <c r="F46" s="307">
        <f t="shared" si="10"/>
        <v>122</v>
      </c>
      <c r="G46" s="307">
        <f t="shared" si="10"/>
        <v>100</v>
      </c>
      <c r="H46" s="307">
        <f t="shared" si="10"/>
        <v>100</v>
      </c>
      <c r="I46" s="308">
        <f t="shared" si="4"/>
        <v>507</v>
      </c>
    </row>
    <row r="47" spans="2:9" outlineLevel="2" x14ac:dyDescent="0.25">
      <c r="B47" s="305"/>
      <c r="C47" s="306"/>
      <c r="D47" s="307"/>
      <c r="E47" s="307"/>
      <c r="F47" s="307"/>
      <c r="G47" s="307"/>
      <c r="H47" s="307"/>
      <c r="I47" s="308">
        <f t="shared" si="4"/>
        <v>0</v>
      </c>
    </row>
    <row r="48" spans="2:9" ht="15" customHeight="1" outlineLevel="2" x14ac:dyDescent="0.25">
      <c r="B48" s="358" t="s">
        <v>90</v>
      </c>
      <c r="C48" s="359"/>
      <c r="D48" s="359"/>
      <c r="E48" s="359"/>
      <c r="F48" s="359"/>
      <c r="G48" s="359"/>
      <c r="H48" s="359"/>
      <c r="I48" s="360"/>
    </row>
    <row r="49" spans="2:18" outlineLevel="2" x14ac:dyDescent="0.25">
      <c r="B49" s="305" t="s">
        <v>84</v>
      </c>
      <c r="C49" s="309" t="s">
        <v>22</v>
      </c>
      <c r="D49" s="310">
        <f t="shared" ref="D49:I49" si="11">SUM(D33:D47)</f>
        <v>2038</v>
      </c>
      <c r="E49" s="310">
        <f t="shared" si="11"/>
        <v>6368</v>
      </c>
      <c r="F49" s="310">
        <f t="shared" si="11"/>
        <v>5279</v>
      </c>
      <c r="G49" s="310">
        <f t="shared" si="11"/>
        <v>3734</v>
      </c>
      <c r="H49" s="310">
        <f t="shared" si="11"/>
        <v>1971</v>
      </c>
      <c r="I49" s="310">
        <f t="shared" si="11"/>
        <v>19390</v>
      </c>
    </row>
    <row r="50" spans="2:18" outlineLevel="1" x14ac:dyDescent="0.25">
      <c r="B50" s="311"/>
      <c r="C50" s="311"/>
      <c r="D50" s="311"/>
      <c r="E50" s="311"/>
      <c r="F50" s="311"/>
      <c r="G50" s="311"/>
      <c r="H50" s="311"/>
      <c r="I50" s="311"/>
    </row>
    <row r="51" spans="2:18" outlineLevel="1" x14ac:dyDescent="0.25">
      <c r="B51" s="312" t="s">
        <v>206</v>
      </c>
      <c r="C51" s="312"/>
      <c r="D51" s="312"/>
      <c r="E51" s="312"/>
      <c r="F51" s="312"/>
      <c r="G51" s="312"/>
      <c r="H51" s="312"/>
      <c r="I51" s="312"/>
      <c r="J51" s="57"/>
      <c r="K51" s="57"/>
      <c r="L51" s="57"/>
      <c r="M51" s="57"/>
      <c r="N51" s="57"/>
      <c r="O51" s="57"/>
      <c r="P51" s="57"/>
      <c r="Q51" s="57"/>
      <c r="R51" s="57"/>
    </row>
    <row r="52" spans="2:18" outlineLevel="2" x14ac:dyDescent="0.25">
      <c r="B52" s="313"/>
      <c r="C52" s="314" t="s">
        <v>20</v>
      </c>
      <c r="D52" s="315">
        <f>$C$3</f>
        <v>2023</v>
      </c>
      <c r="E52" s="315">
        <f>$C$3+1</f>
        <v>2024</v>
      </c>
      <c r="F52" s="315">
        <f>$C$3+2</f>
        <v>2025</v>
      </c>
      <c r="G52" s="315">
        <f>$C$3+3</f>
        <v>2026</v>
      </c>
      <c r="H52" s="315">
        <f>$C$3+4</f>
        <v>2027</v>
      </c>
      <c r="I52" s="304" t="str">
        <f>D52&amp; "-"&amp;H52</f>
        <v>2023-2027</v>
      </c>
    </row>
    <row r="53" spans="2:18" outlineLevel="2" x14ac:dyDescent="0.25">
      <c r="B53" s="305" t="s">
        <v>283</v>
      </c>
      <c r="C53" s="309" t="s">
        <v>22</v>
      </c>
      <c r="D53" s="307">
        <f>23+5+1+0</f>
        <v>29</v>
      </c>
      <c r="E53" s="307">
        <f>18+4+1</f>
        <v>23</v>
      </c>
      <c r="F53" s="307">
        <v>0</v>
      </c>
      <c r="G53" s="307">
        <f>'[1]1. ΔΕΣΚΑΤΗ'!X10+'[1]1. ΔΕΣΚΑΤΗ'!X11</f>
        <v>0</v>
      </c>
      <c r="H53" s="307">
        <f>'[1]1. ΔΕΣΚΑΤΗ'!Y10+'[1]1. ΔΕΣΚΑΤΗ'!Y11</f>
        <v>0</v>
      </c>
      <c r="I53" s="316">
        <f t="shared" ref="I53:I67" si="12">D53+E53+F53+G53+H53</f>
        <v>52</v>
      </c>
    </row>
    <row r="54" spans="2:18" outlineLevel="2" x14ac:dyDescent="0.25">
      <c r="B54" s="305" t="s">
        <v>284</v>
      </c>
      <c r="C54" s="309" t="s">
        <v>22</v>
      </c>
      <c r="D54" s="307">
        <f>32+11+1+2</f>
        <v>46</v>
      </c>
      <c r="E54" s="307">
        <f>8+13+2+3</f>
        <v>26</v>
      </c>
      <c r="F54" s="307">
        <v>10</v>
      </c>
      <c r="G54" s="307">
        <v>0</v>
      </c>
      <c r="H54" s="310">
        <v>0</v>
      </c>
      <c r="I54" s="316">
        <f t="shared" si="12"/>
        <v>82</v>
      </c>
    </row>
    <row r="55" spans="2:18" outlineLevel="2" x14ac:dyDescent="0.25">
      <c r="B55" s="305" t="s">
        <v>285</v>
      </c>
      <c r="C55" s="309" t="s">
        <v>22</v>
      </c>
      <c r="D55" s="307">
        <f>42+6+1+5</f>
        <v>54</v>
      </c>
      <c r="E55" s="307">
        <f>8+7+1+5</f>
        <v>21</v>
      </c>
      <c r="F55" s="307">
        <v>13</v>
      </c>
      <c r="G55" s="307">
        <v>5</v>
      </c>
      <c r="H55" s="310">
        <v>4</v>
      </c>
      <c r="I55" s="316">
        <f t="shared" si="12"/>
        <v>97</v>
      </c>
    </row>
    <row r="56" spans="2:18" outlineLevel="2" x14ac:dyDescent="0.25">
      <c r="B56" s="305" t="s">
        <v>286</v>
      </c>
      <c r="C56" s="309" t="s">
        <v>22</v>
      </c>
      <c r="D56" s="307">
        <f>30+4+1</f>
        <v>35</v>
      </c>
      <c r="E56" s="307">
        <f>62+4+1+1</f>
        <v>68</v>
      </c>
      <c r="F56" s="307">
        <v>4</v>
      </c>
      <c r="G56" s="307">
        <f>5+13+1+1</f>
        <v>20</v>
      </c>
      <c r="H56" s="310">
        <v>10</v>
      </c>
      <c r="I56" s="316">
        <f t="shared" si="12"/>
        <v>137</v>
      </c>
    </row>
    <row r="57" spans="2:18" outlineLevel="2" x14ac:dyDescent="0.25">
      <c r="B57" s="305" t="s">
        <v>287</v>
      </c>
      <c r="C57" s="309" t="s">
        <v>22</v>
      </c>
      <c r="D57" s="307">
        <v>0</v>
      </c>
      <c r="E57" s="307">
        <f>174+7+2+1</f>
        <v>184</v>
      </c>
      <c r="F57" s="307">
        <f>45+9+2+1</f>
        <v>57</v>
      </c>
      <c r="G57" s="307">
        <f>6+3+1</f>
        <v>10</v>
      </c>
      <c r="H57" s="310">
        <v>6</v>
      </c>
      <c r="I57" s="316">
        <f t="shared" si="12"/>
        <v>257</v>
      </c>
    </row>
    <row r="58" spans="2:18" outlineLevel="2" x14ac:dyDescent="0.25">
      <c r="B58" s="305" t="s">
        <v>288</v>
      </c>
      <c r="C58" s="309" t="s">
        <v>22</v>
      </c>
      <c r="D58" s="307">
        <v>72</v>
      </c>
      <c r="E58" s="307">
        <v>7</v>
      </c>
      <c r="F58" s="307">
        <f>10+1</f>
        <v>11</v>
      </c>
      <c r="G58" s="307">
        <v>3</v>
      </c>
      <c r="H58" s="310">
        <v>2</v>
      </c>
      <c r="I58" s="316">
        <f t="shared" si="12"/>
        <v>95</v>
      </c>
    </row>
    <row r="59" spans="2:18" outlineLevel="2" x14ac:dyDescent="0.25">
      <c r="B59" s="305" t="s">
        <v>289</v>
      </c>
      <c r="C59" s="309" t="s">
        <v>22</v>
      </c>
      <c r="D59" s="307">
        <f>260</f>
        <v>260</v>
      </c>
      <c r="E59" s="307">
        <f>199+17+1+1</f>
        <v>218</v>
      </c>
      <c r="F59" s="307">
        <f>22+23+1+1</f>
        <v>47</v>
      </c>
      <c r="G59" s="307">
        <v>20</v>
      </c>
      <c r="H59" s="310">
        <v>10</v>
      </c>
      <c r="I59" s="316">
        <f t="shared" si="12"/>
        <v>555</v>
      </c>
      <c r="L59" s="40"/>
      <c r="M59" s="40"/>
      <c r="N59" s="40"/>
      <c r="O59" s="40"/>
      <c r="P59" s="40"/>
      <c r="Q59" s="40"/>
    </row>
    <row r="60" spans="2:18" outlineLevel="2" x14ac:dyDescent="0.25">
      <c r="B60" s="305" t="s">
        <v>290</v>
      </c>
      <c r="C60" s="309" t="s">
        <v>22</v>
      </c>
      <c r="D60" s="307">
        <v>114</v>
      </c>
      <c r="E60" s="307">
        <f>73+29+2+1</f>
        <v>105</v>
      </c>
      <c r="F60" s="307">
        <f>5+33+2</f>
        <v>40</v>
      </c>
      <c r="G60" s="307">
        <v>20</v>
      </c>
      <c r="H60" s="310">
        <v>10</v>
      </c>
      <c r="I60" s="316">
        <f t="shared" si="12"/>
        <v>289</v>
      </c>
      <c r="L60" s="40"/>
      <c r="M60" s="40"/>
      <c r="N60" s="40"/>
      <c r="O60" s="40"/>
      <c r="P60" s="40"/>
    </row>
    <row r="61" spans="2:18" outlineLevel="2" x14ac:dyDescent="0.25">
      <c r="B61" s="305" t="s">
        <v>291</v>
      </c>
      <c r="C61" s="309" t="s">
        <v>22</v>
      </c>
      <c r="D61" s="307">
        <f>100+12</f>
        <v>112</v>
      </c>
      <c r="E61" s="307">
        <f>5+14+1+2</f>
        <v>22</v>
      </c>
      <c r="F61" s="307">
        <f>2+1+1</f>
        <v>4</v>
      </c>
      <c r="G61" s="307">
        <v>5</v>
      </c>
      <c r="H61" s="310">
        <v>3</v>
      </c>
      <c r="I61" s="316">
        <f t="shared" si="12"/>
        <v>146</v>
      </c>
      <c r="L61" s="40"/>
      <c r="M61" s="40"/>
      <c r="N61" s="40"/>
      <c r="O61" s="40"/>
      <c r="P61" s="40"/>
    </row>
    <row r="62" spans="2:18" outlineLevel="2" x14ac:dyDescent="0.25">
      <c r="B62" s="305" t="s">
        <v>307</v>
      </c>
      <c r="C62" s="309" t="s">
        <v>22</v>
      </c>
      <c r="D62" s="307">
        <f>5+1</f>
        <v>6</v>
      </c>
      <c r="E62" s="307">
        <f>5+2</f>
        <v>7</v>
      </c>
      <c r="F62" s="307">
        <f>3+5</f>
        <v>8</v>
      </c>
      <c r="G62" s="307">
        <f t="shared" ref="G62:H64" si="13">2+2</f>
        <v>4</v>
      </c>
      <c r="H62" s="310">
        <f t="shared" si="13"/>
        <v>4</v>
      </c>
      <c r="I62" s="316">
        <f t="shared" si="12"/>
        <v>29</v>
      </c>
      <c r="L62" s="40"/>
      <c r="M62" s="40"/>
      <c r="N62" s="40"/>
      <c r="O62" s="40"/>
      <c r="P62" s="40"/>
    </row>
    <row r="63" spans="2:18" outlineLevel="2" x14ac:dyDescent="0.25">
      <c r="B63" s="305" t="s">
        <v>304</v>
      </c>
      <c r="C63" s="309" t="s">
        <v>22</v>
      </c>
      <c r="D63" s="307">
        <f>7+3</f>
        <v>10</v>
      </c>
      <c r="E63" s="307">
        <f>5+2</f>
        <v>7</v>
      </c>
      <c r="F63" s="307">
        <f>3+5</f>
        <v>8</v>
      </c>
      <c r="G63" s="307">
        <f t="shared" si="13"/>
        <v>4</v>
      </c>
      <c r="H63" s="310">
        <f t="shared" si="13"/>
        <v>4</v>
      </c>
      <c r="I63" s="316">
        <f t="shared" si="12"/>
        <v>33</v>
      </c>
      <c r="L63" s="40"/>
      <c r="M63" s="40"/>
      <c r="N63" s="40"/>
      <c r="O63" s="40"/>
      <c r="P63" s="40"/>
    </row>
    <row r="64" spans="2:18" outlineLevel="2" x14ac:dyDescent="0.25">
      <c r="B64" s="305" t="s">
        <v>305</v>
      </c>
      <c r="C64" s="309" t="s">
        <v>22</v>
      </c>
      <c r="D64" s="307">
        <f>5+2</f>
        <v>7</v>
      </c>
      <c r="E64" s="307">
        <f>5+2</f>
        <v>7</v>
      </c>
      <c r="F64" s="307">
        <f>3+5</f>
        <v>8</v>
      </c>
      <c r="G64" s="307">
        <f t="shared" si="13"/>
        <v>4</v>
      </c>
      <c r="H64" s="310">
        <f t="shared" si="13"/>
        <v>4</v>
      </c>
      <c r="I64" s="316">
        <f t="shared" si="12"/>
        <v>30</v>
      </c>
      <c r="L64" s="40"/>
      <c r="M64" s="40"/>
      <c r="N64" s="40"/>
      <c r="O64" s="40"/>
      <c r="P64" s="40"/>
    </row>
    <row r="65" spans="2:18" outlineLevel="2" x14ac:dyDescent="0.25">
      <c r="B65" s="305" t="s">
        <v>306</v>
      </c>
      <c r="C65" s="309" t="s">
        <v>22</v>
      </c>
      <c r="D65" s="307">
        <f>35+5</f>
        <v>40</v>
      </c>
      <c r="E65" s="307">
        <f>35+10</f>
        <v>45</v>
      </c>
      <c r="F65" s="307">
        <f>26+10</f>
        <v>36</v>
      </c>
      <c r="G65" s="310">
        <f>10+10</f>
        <v>20</v>
      </c>
      <c r="H65" s="310">
        <v>10</v>
      </c>
      <c r="I65" s="316">
        <f t="shared" si="12"/>
        <v>151</v>
      </c>
      <c r="L65" s="40"/>
      <c r="M65" s="40"/>
      <c r="N65" s="40"/>
      <c r="O65" s="40"/>
      <c r="P65" s="40"/>
    </row>
    <row r="66" spans="2:18" outlineLevel="2" x14ac:dyDescent="0.25">
      <c r="B66" s="305" t="s">
        <v>308</v>
      </c>
      <c r="C66" s="309" t="s">
        <v>22</v>
      </c>
      <c r="D66" s="307">
        <f>20+8</f>
        <v>28</v>
      </c>
      <c r="E66" s="307">
        <f>25+24</f>
        <v>49</v>
      </c>
      <c r="F66" s="307">
        <f>25+24</f>
        <v>49</v>
      </c>
      <c r="G66" s="307">
        <f>20+15</f>
        <v>35</v>
      </c>
      <c r="H66" s="307">
        <v>10</v>
      </c>
      <c r="I66" s="316">
        <f t="shared" si="12"/>
        <v>171</v>
      </c>
      <c r="L66" s="40"/>
      <c r="M66" s="40"/>
      <c r="N66" s="40"/>
      <c r="O66" s="40"/>
      <c r="P66" s="40"/>
    </row>
    <row r="67" spans="2:18" outlineLevel="2" x14ac:dyDescent="0.25">
      <c r="B67" s="305"/>
      <c r="C67" s="309"/>
      <c r="D67" s="307"/>
      <c r="E67" s="307"/>
      <c r="F67" s="307"/>
      <c r="G67" s="307"/>
      <c r="H67" s="310"/>
      <c r="I67" s="316">
        <f t="shared" si="12"/>
        <v>0</v>
      </c>
      <c r="L67" s="40"/>
      <c r="M67" s="40"/>
      <c r="N67" s="40"/>
      <c r="O67" s="40"/>
      <c r="P67" s="40"/>
    </row>
    <row r="68" spans="2:18" ht="15" customHeight="1" outlineLevel="2" x14ac:dyDescent="0.25">
      <c r="B68" s="361" t="s">
        <v>90</v>
      </c>
      <c r="C68" s="361"/>
      <c r="D68" s="361"/>
      <c r="E68" s="361"/>
      <c r="F68" s="361"/>
      <c r="G68" s="361"/>
      <c r="H68" s="361"/>
      <c r="I68" s="361"/>
      <c r="L68" s="40"/>
      <c r="M68" s="40"/>
      <c r="N68" s="40"/>
      <c r="O68" s="40"/>
      <c r="P68" s="40"/>
    </row>
    <row r="69" spans="2:18" outlineLevel="2" x14ac:dyDescent="0.25">
      <c r="B69" s="305" t="s">
        <v>84</v>
      </c>
      <c r="C69" s="309" t="s">
        <v>22</v>
      </c>
      <c r="D69" s="310">
        <f t="shared" ref="D69:I69" si="14">SUM(D53:D67)</f>
        <v>813</v>
      </c>
      <c r="E69" s="310">
        <f t="shared" si="14"/>
        <v>789</v>
      </c>
      <c r="F69" s="310">
        <f t="shared" si="14"/>
        <v>295</v>
      </c>
      <c r="G69" s="310">
        <f t="shared" si="14"/>
        <v>150</v>
      </c>
      <c r="H69" s="310">
        <f t="shared" si="14"/>
        <v>77</v>
      </c>
      <c r="I69" s="310">
        <f t="shared" si="14"/>
        <v>2124</v>
      </c>
      <c r="L69" s="40"/>
      <c r="M69" s="40"/>
      <c r="N69" s="40"/>
      <c r="O69" s="40"/>
      <c r="P69" s="40"/>
    </row>
    <row r="70" spans="2:18" outlineLevel="1" x14ac:dyDescent="0.25">
      <c r="B70" s="311"/>
      <c r="C70" s="311"/>
      <c r="D70" s="311"/>
      <c r="E70" s="311"/>
      <c r="F70" s="311"/>
      <c r="G70" s="311"/>
      <c r="H70" s="311"/>
      <c r="I70" s="311"/>
      <c r="L70" s="40"/>
      <c r="M70" s="40"/>
      <c r="N70" s="40"/>
      <c r="O70" s="40"/>
      <c r="P70" s="40"/>
    </row>
    <row r="71" spans="2:18" outlineLevel="1" x14ac:dyDescent="0.25">
      <c r="B71" s="299" t="s">
        <v>217</v>
      </c>
      <c r="C71" s="300"/>
      <c r="D71" s="300"/>
      <c r="E71" s="300"/>
      <c r="F71" s="300"/>
      <c r="G71" s="300"/>
      <c r="H71" s="300"/>
      <c r="I71" s="300"/>
      <c r="J71" s="57"/>
      <c r="K71" s="57"/>
      <c r="L71" s="40"/>
      <c r="M71" s="40"/>
      <c r="N71" s="40"/>
      <c r="O71" s="40"/>
      <c r="P71" s="40"/>
      <c r="Q71" s="57"/>
      <c r="R71" s="57"/>
    </row>
    <row r="72" spans="2:18" outlineLevel="2" x14ac:dyDescent="0.25">
      <c r="B72" s="301"/>
      <c r="C72" s="302" t="s">
        <v>20</v>
      </c>
      <c r="D72" s="315">
        <f>$C$3</f>
        <v>2023</v>
      </c>
      <c r="E72" s="315">
        <f>$C$3+1</f>
        <v>2024</v>
      </c>
      <c r="F72" s="315">
        <f>$C$3+2</f>
        <v>2025</v>
      </c>
      <c r="G72" s="315">
        <f>$C$3+3</f>
        <v>2026</v>
      </c>
      <c r="H72" s="315">
        <f>$C$3+4</f>
        <v>2027</v>
      </c>
      <c r="I72" s="304" t="str">
        <f>D72&amp; "-"&amp;H72</f>
        <v>2023-2027</v>
      </c>
      <c r="L72" s="40"/>
      <c r="M72" s="40"/>
      <c r="N72" s="40"/>
      <c r="O72" s="40"/>
      <c r="P72" s="40"/>
    </row>
    <row r="73" spans="2:18" outlineLevel="2" x14ac:dyDescent="0.25">
      <c r="B73" s="305" t="s">
        <v>283</v>
      </c>
      <c r="C73" s="306" t="s">
        <v>22</v>
      </c>
      <c r="D73" s="310">
        <f>1+1</f>
        <v>2</v>
      </c>
      <c r="E73" s="310">
        <f>1+1</f>
        <v>2</v>
      </c>
      <c r="F73" s="310">
        <f>'[1]1. ΔΕΣΚΑΤΗ'!W12+'[1]1. ΔΕΣΚΑΤΗ'!W13+'[1]1. ΔΕΣΚΑΤΗ'!W14+'[1]1. ΔΕΣΚΑΤΗ'!W15+'[1]1. ΔΕΣΚΑΤΗ'!W16+'[1]1. ΔΕΣΚΑΤΗ'!W17</f>
        <v>0</v>
      </c>
      <c r="G73" s="310">
        <f>'[1]1. ΔΕΣΚΑΤΗ'!X12+'[1]1. ΔΕΣΚΑΤΗ'!X13+'[1]1. ΔΕΣΚΑΤΗ'!X14+'[1]1. ΔΕΣΚΑΤΗ'!X15+'[1]1. ΔΕΣΚΑΤΗ'!X16+'[1]1. ΔΕΣΚΑΤΗ'!X17</f>
        <v>0</v>
      </c>
      <c r="H73" s="310">
        <v>0</v>
      </c>
      <c r="I73" s="308">
        <f t="shared" ref="I73:I87" si="15">D73+E73+F73+G73+H73</f>
        <v>4</v>
      </c>
      <c r="L73" s="40"/>
      <c r="M73" s="40"/>
      <c r="N73" s="40"/>
      <c r="O73" s="40"/>
      <c r="P73" s="40"/>
    </row>
    <row r="74" spans="2:18" outlineLevel="2" x14ac:dyDescent="0.25">
      <c r="B74" s="305" t="s">
        <v>284</v>
      </c>
      <c r="C74" s="306" t="s">
        <v>22</v>
      </c>
      <c r="D74" s="310">
        <f>15+2</f>
        <v>17</v>
      </c>
      <c r="E74" s="310">
        <f>1+2+1</f>
        <v>4</v>
      </c>
      <c r="F74" s="310">
        <f>2+2</f>
        <v>4</v>
      </c>
      <c r="G74" s="310">
        <v>0</v>
      </c>
      <c r="H74" s="310">
        <v>0</v>
      </c>
      <c r="I74" s="308">
        <f t="shared" si="15"/>
        <v>25</v>
      </c>
      <c r="L74" s="40"/>
      <c r="M74" s="40"/>
      <c r="N74" s="40"/>
      <c r="O74" s="40"/>
      <c r="P74" s="40"/>
    </row>
    <row r="75" spans="2:18" outlineLevel="2" x14ac:dyDescent="0.25">
      <c r="B75" s="305" t="s">
        <v>285</v>
      </c>
      <c r="C75" s="306" t="s">
        <v>22</v>
      </c>
      <c r="D75" s="310">
        <f>17+1</f>
        <v>18</v>
      </c>
      <c r="E75" s="310">
        <f>7+1</f>
        <v>8</v>
      </c>
      <c r="F75" s="310">
        <v>7</v>
      </c>
      <c r="G75" s="310">
        <v>0</v>
      </c>
      <c r="H75" s="310">
        <v>0</v>
      </c>
      <c r="I75" s="308">
        <f t="shared" si="15"/>
        <v>33</v>
      </c>
      <c r="L75" s="40"/>
      <c r="M75" s="40"/>
      <c r="N75" s="40"/>
      <c r="O75" s="40"/>
      <c r="P75" s="40"/>
    </row>
    <row r="76" spans="2:18" outlineLevel="2" x14ac:dyDescent="0.25">
      <c r="B76" s="305" t="s">
        <v>286</v>
      </c>
      <c r="C76" s="306" t="s">
        <v>22</v>
      </c>
      <c r="D76" s="310">
        <f>3+1</f>
        <v>4</v>
      </c>
      <c r="E76" s="310">
        <f>13+3</f>
        <v>16</v>
      </c>
      <c r="F76" s="310">
        <f>1+3</f>
        <v>4</v>
      </c>
      <c r="G76" s="310">
        <v>2</v>
      </c>
      <c r="H76" s="310">
        <v>2</v>
      </c>
      <c r="I76" s="308">
        <f t="shared" si="15"/>
        <v>28</v>
      </c>
    </row>
    <row r="77" spans="2:18" outlineLevel="2" x14ac:dyDescent="0.25">
      <c r="B77" s="305" t="s">
        <v>287</v>
      </c>
      <c r="C77" s="306" t="s">
        <v>22</v>
      </c>
      <c r="D77" s="310">
        <v>0</v>
      </c>
      <c r="E77" s="310">
        <f>42+2+1</f>
        <v>45</v>
      </c>
      <c r="F77" s="310">
        <f>2</f>
        <v>2</v>
      </c>
      <c r="G77" s="310">
        <v>2</v>
      </c>
      <c r="H77" s="310">
        <v>2</v>
      </c>
      <c r="I77" s="308">
        <f t="shared" si="15"/>
        <v>51</v>
      </c>
    </row>
    <row r="78" spans="2:18" outlineLevel="2" x14ac:dyDescent="0.25">
      <c r="B78" s="305" t="s">
        <v>288</v>
      </c>
      <c r="C78" s="306" t="s">
        <v>22</v>
      </c>
      <c r="D78" s="310">
        <v>14</v>
      </c>
      <c r="E78" s="310">
        <v>1</v>
      </c>
      <c r="F78" s="310">
        <v>0</v>
      </c>
      <c r="G78" s="310">
        <v>0</v>
      </c>
      <c r="H78" s="310">
        <v>0</v>
      </c>
      <c r="I78" s="308">
        <f t="shared" si="15"/>
        <v>15</v>
      </c>
    </row>
    <row r="79" spans="2:18" outlineLevel="2" x14ac:dyDescent="0.25">
      <c r="B79" s="305" t="s">
        <v>289</v>
      </c>
      <c r="C79" s="306" t="s">
        <v>22</v>
      </c>
      <c r="D79" s="310">
        <v>21</v>
      </c>
      <c r="E79" s="310">
        <f>9+2</f>
        <v>11</v>
      </c>
      <c r="F79" s="310">
        <f>2+1</f>
        <v>3</v>
      </c>
      <c r="G79" s="310">
        <v>2</v>
      </c>
      <c r="H79" s="310">
        <v>1</v>
      </c>
      <c r="I79" s="308">
        <f t="shared" si="15"/>
        <v>38</v>
      </c>
    </row>
    <row r="80" spans="2:18" outlineLevel="2" x14ac:dyDescent="0.25">
      <c r="B80" s="305" t="s">
        <v>290</v>
      </c>
      <c r="C80" s="306" t="s">
        <v>22</v>
      </c>
      <c r="D80" s="310">
        <v>53</v>
      </c>
      <c r="E80" s="310">
        <f>3+3+1</f>
        <v>7</v>
      </c>
      <c r="F80" s="310">
        <v>3</v>
      </c>
      <c r="G80" s="310">
        <v>2</v>
      </c>
      <c r="H80" s="310">
        <v>1</v>
      </c>
      <c r="I80" s="308">
        <f t="shared" si="15"/>
        <v>66</v>
      </c>
    </row>
    <row r="81" spans="2:18" outlineLevel="2" x14ac:dyDescent="0.25">
      <c r="B81" s="305" t="s">
        <v>291</v>
      </c>
      <c r="C81" s="306" t="s">
        <v>22</v>
      </c>
      <c r="D81" s="310">
        <v>0</v>
      </c>
      <c r="E81" s="310">
        <v>12</v>
      </c>
      <c r="F81" s="310">
        <v>5</v>
      </c>
      <c r="G81" s="310">
        <f>'[1]2. ΜΕΓΑΛΟΠΟΛΗ'!X12+'[1]2. ΜΕΓΑΛΟΠΟΛΗ'!X13+'[1]2. ΜΕΓΑΛΟΠΟΛΗ'!X14+'[1]2. ΜΕΓΑΛΟΠΟΛΗ'!X15</f>
        <v>0</v>
      </c>
      <c r="H81" s="310">
        <v>0</v>
      </c>
      <c r="I81" s="308">
        <f t="shared" si="15"/>
        <v>17</v>
      </c>
    </row>
    <row r="82" spans="2:18" outlineLevel="2" x14ac:dyDescent="0.25">
      <c r="B82" s="305" t="s">
        <v>307</v>
      </c>
      <c r="C82" s="306" t="s">
        <v>22</v>
      </c>
      <c r="D82" s="310">
        <f>1+1+1+1</f>
        <v>4</v>
      </c>
      <c r="E82" s="310">
        <f>1+1</f>
        <v>2</v>
      </c>
      <c r="F82" s="310">
        <f>2+1</f>
        <v>3</v>
      </c>
      <c r="G82" s="310">
        <f>1</f>
        <v>1</v>
      </c>
      <c r="H82" s="310">
        <v>0</v>
      </c>
      <c r="I82" s="308">
        <f t="shared" si="15"/>
        <v>10</v>
      </c>
    </row>
    <row r="83" spans="2:18" outlineLevel="2" x14ac:dyDescent="0.25">
      <c r="B83" s="305" t="s">
        <v>304</v>
      </c>
      <c r="C83" s="306" t="s">
        <v>22</v>
      </c>
      <c r="D83" s="310">
        <f>2+1+1+1+1</f>
        <v>6</v>
      </c>
      <c r="E83" s="310">
        <f>1+1</f>
        <v>2</v>
      </c>
      <c r="F83" s="310">
        <f>2</f>
        <v>2</v>
      </c>
      <c r="G83" s="310">
        <f>1</f>
        <v>1</v>
      </c>
      <c r="H83" s="310">
        <v>0</v>
      </c>
      <c r="I83" s="308">
        <f t="shared" si="15"/>
        <v>11</v>
      </c>
    </row>
    <row r="84" spans="2:18" outlineLevel="2" x14ac:dyDescent="0.25">
      <c r="B84" s="305" t="s">
        <v>305</v>
      </c>
      <c r="C84" s="306" t="s">
        <v>22</v>
      </c>
      <c r="D84" s="310">
        <f>1+1+1+1+1</f>
        <v>5</v>
      </c>
      <c r="E84" s="310">
        <f>1+1</f>
        <v>2</v>
      </c>
      <c r="F84" s="310">
        <f>2</f>
        <v>2</v>
      </c>
      <c r="G84" s="310">
        <f>1</f>
        <v>1</v>
      </c>
      <c r="H84" s="310">
        <v>0</v>
      </c>
      <c r="I84" s="308">
        <f t="shared" si="15"/>
        <v>10</v>
      </c>
    </row>
    <row r="85" spans="2:18" outlineLevel="2" x14ac:dyDescent="0.25">
      <c r="B85" s="305" t="s">
        <v>306</v>
      </c>
      <c r="C85" s="306" t="s">
        <v>22</v>
      </c>
      <c r="D85" s="310">
        <f>1+1+2+2+1</f>
        <v>7</v>
      </c>
      <c r="E85" s="310">
        <f>1+1+1+2</f>
        <v>5</v>
      </c>
      <c r="F85" s="310">
        <f>1+1+1+1</f>
        <v>4</v>
      </c>
      <c r="G85" s="310">
        <f>1+2+1+1</f>
        <v>5</v>
      </c>
      <c r="H85" s="310">
        <v>10</v>
      </c>
      <c r="I85" s="308">
        <f t="shared" si="15"/>
        <v>31</v>
      </c>
    </row>
    <row r="86" spans="2:18" outlineLevel="2" x14ac:dyDescent="0.25">
      <c r="B86" s="305" t="s">
        <v>308</v>
      </c>
      <c r="C86" s="306" t="s">
        <v>22</v>
      </c>
      <c r="D86" s="310">
        <f>1+1+4+1+2</f>
        <v>9</v>
      </c>
      <c r="E86" s="310">
        <f>2+1+6+1+5</f>
        <v>15</v>
      </c>
      <c r="F86" s="310">
        <f>1+1+6+5</f>
        <v>13</v>
      </c>
      <c r="G86" s="310">
        <f>1+2+6+8</f>
        <v>17</v>
      </c>
      <c r="H86" s="310">
        <v>10</v>
      </c>
      <c r="I86" s="308">
        <f t="shared" si="15"/>
        <v>64</v>
      </c>
    </row>
    <row r="87" spans="2:18" outlineLevel="2" x14ac:dyDescent="0.25">
      <c r="B87" s="305"/>
      <c r="C87" s="306"/>
      <c r="D87" s="310"/>
      <c r="E87" s="310"/>
      <c r="F87" s="310"/>
      <c r="G87" s="310"/>
      <c r="H87" s="310"/>
      <c r="I87" s="308">
        <f t="shared" si="15"/>
        <v>0</v>
      </c>
    </row>
    <row r="88" spans="2:18" ht="15" customHeight="1" outlineLevel="2" x14ac:dyDescent="0.25">
      <c r="B88" s="358" t="s">
        <v>90</v>
      </c>
      <c r="C88" s="359"/>
      <c r="D88" s="359"/>
      <c r="E88" s="359"/>
      <c r="F88" s="359"/>
      <c r="G88" s="359"/>
      <c r="H88" s="359"/>
      <c r="I88" s="360"/>
    </row>
    <row r="89" spans="2:18" outlineLevel="2" x14ac:dyDescent="0.25">
      <c r="B89" s="305" t="s">
        <v>84</v>
      </c>
      <c r="C89" s="309" t="s">
        <v>22</v>
      </c>
      <c r="D89" s="310">
        <f t="shared" ref="D89:I89" si="16">SUM(D73:D87)</f>
        <v>160</v>
      </c>
      <c r="E89" s="310">
        <f t="shared" si="16"/>
        <v>132</v>
      </c>
      <c r="F89" s="310">
        <f t="shared" si="16"/>
        <v>52</v>
      </c>
      <c r="G89" s="310">
        <f t="shared" si="16"/>
        <v>33</v>
      </c>
      <c r="H89" s="310">
        <f t="shared" si="16"/>
        <v>26</v>
      </c>
      <c r="I89" s="310">
        <f t="shared" si="16"/>
        <v>403</v>
      </c>
    </row>
    <row r="90" spans="2:18" outlineLevel="1" x14ac:dyDescent="0.25">
      <c r="B90" s="311"/>
      <c r="C90" s="311"/>
      <c r="D90" s="311"/>
      <c r="E90" s="311"/>
      <c r="F90" s="311"/>
      <c r="G90" s="311"/>
      <c r="H90" s="311"/>
      <c r="I90" s="311"/>
    </row>
    <row r="91" spans="2:18" outlineLevel="1" x14ac:dyDescent="0.25">
      <c r="B91" s="299" t="s">
        <v>13</v>
      </c>
      <c r="C91" s="300"/>
      <c r="D91" s="300"/>
      <c r="E91" s="300"/>
      <c r="F91" s="300"/>
      <c r="G91" s="300"/>
      <c r="H91" s="300"/>
      <c r="I91" s="300"/>
      <c r="J91" s="57"/>
      <c r="K91" s="57"/>
      <c r="L91" s="57"/>
      <c r="M91" s="57"/>
      <c r="N91" s="57"/>
      <c r="O91" s="57"/>
      <c r="P91" s="57"/>
      <c r="Q91" s="57"/>
      <c r="R91" s="57"/>
    </row>
    <row r="92" spans="2:18" outlineLevel="2" x14ac:dyDescent="0.25">
      <c r="B92" s="301"/>
      <c r="C92" s="302" t="s">
        <v>20</v>
      </c>
      <c r="D92" s="303">
        <f>$C$3</f>
        <v>2023</v>
      </c>
      <c r="E92" s="303">
        <f>$C$3+1</f>
        <v>2024</v>
      </c>
      <c r="F92" s="303">
        <f>$C$3+2</f>
        <v>2025</v>
      </c>
      <c r="G92" s="303">
        <f>$C$3+3</f>
        <v>2026</v>
      </c>
      <c r="H92" s="303">
        <f>$C$3+4</f>
        <v>2027</v>
      </c>
      <c r="I92" s="304" t="str">
        <f>D92&amp; "-"&amp;H92</f>
        <v>2023-2027</v>
      </c>
    </row>
    <row r="93" spans="2:18" outlineLevel="2" x14ac:dyDescent="0.25">
      <c r="B93" s="305" t="s">
        <v>283</v>
      </c>
      <c r="C93" s="306" t="s">
        <v>22</v>
      </c>
      <c r="D93" s="307">
        <f>'[1]1. ΔΕΣΚΑΤΗ'!U18</f>
        <v>0</v>
      </c>
      <c r="E93" s="307">
        <v>0</v>
      </c>
      <c r="F93" s="307">
        <v>0</v>
      </c>
      <c r="G93" s="307">
        <v>0</v>
      </c>
      <c r="H93" s="307"/>
      <c r="I93" s="308">
        <v>0</v>
      </c>
    </row>
    <row r="94" spans="2:18" outlineLevel="2" x14ac:dyDescent="0.25">
      <c r="B94" s="305" t="s">
        <v>284</v>
      </c>
      <c r="C94" s="306" t="s">
        <v>22</v>
      </c>
      <c r="D94" s="307">
        <v>0</v>
      </c>
      <c r="E94" s="307">
        <v>0</v>
      </c>
      <c r="F94" s="307">
        <v>0</v>
      </c>
      <c r="G94" s="307">
        <v>0</v>
      </c>
      <c r="H94" s="307">
        <v>0</v>
      </c>
      <c r="I94" s="308">
        <f t="shared" ref="I94:I107" si="17">D94+E94+F94+G94+H94</f>
        <v>0</v>
      </c>
    </row>
    <row r="95" spans="2:18" outlineLevel="2" x14ac:dyDescent="0.25">
      <c r="B95" s="305" t="s">
        <v>285</v>
      </c>
      <c r="C95" s="306" t="s">
        <v>22</v>
      </c>
      <c r="D95" s="307">
        <v>0</v>
      </c>
      <c r="E95" s="307"/>
      <c r="F95" s="307"/>
      <c r="G95" s="307"/>
      <c r="H95" s="307"/>
      <c r="I95" s="308">
        <f t="shared" si="17"/>
        <v>0</v>
      </c>
    </row>
    <row r="96" spans="2:18" outlineLevel="2" x14ac:dyDescent="0.25">
      <c r="B96" s="305" t="s">
        <v>286</v>
      </c>
      <c r="C96" s="306" t="s">
        <v>22</v>
      </c>
      <c r="D96" s="307">
        <v>0</v>
      </c>
      <c r="E96" s="307">
        <v>2</v>
      </c>
      <c r="F96" s="307">
        <v>2</v>
      </c>
      <c r="G96" s="307">
        <v>3</v>
      </c>
      <c r="H96" s="307">
        <v>1</v>
      </c>
      <c r="I96" s="308">
        <f t="shared" si="17"/>
        <v>8</v>
      </c>
    </row>
    <row r="97" spans="2:18" outlineLevel="2" x14ac:dyDescent="0.25">
      <c r="B97" s="305" t="s">
        <v>287</v>
      </c>
      <c r="C97" s="306" t="s">
        <v>22</v>
      </c>
      <c r="D97" s="307">
        <v>0</v>
      </c>
      <c r="E97" s="307">
        <v>4</v>
      </c>
      <c r="F97" s="307">
        <v>2</v>
      </c>
      <c r="G97" s="307">
        <v>1</v>
      </c>
      <c r="H97" s="307">
        <v>1</v>
      </c>
      <c r="I97" s="308">
        <f t="shared" si="17"/>
        <v>8</v>
      </c>
    </row>
    <row r="98" spans="2:18" outlineLevel="2" x14ac:dyDescent="0.25">
      <c r="B98" s="305" t="s">
        <v>288</v>
      </c>
      <c r="C98" s="306" t="s">
        <v>22</v>
      </c>
      <c r="D98" s="307">
        <v>1</v>
      </c>
      <c r="E98" s="307">
        <f>'[1]9. ΣΚΥΔΡΑ'!V18</f>
        <v>2</v>
      </c>
      <c r="F98" s="307">
        <f>'[1]9. ΣΚΥΔΡΑ'!W18</f>
        <v>2</v>
      </c>
      <c r="G98" s="307">
        <f>'[1]9. ΣΚΥΔΡΑ'!X18</f>
        <v>1</v>
      </c>
      <c r="H98" s="307">
        <v>0</v>
      </c>
      <c r="I98" s="308">
        <f t="shared" si="17"/>
        <v>6</v>
      </c>
    </row>
    <row r="99" spans="2:18" outlineLevel="2" x14ac:dyDescent="0.25">
      <c r="B99" s="305" t="s">
        <v>289</v>
      </c>
      <c r="C99" s="306" t="s">
        <v>22</v>
      </c>
      <c r="D99" s="307">
        <v>1</v>
      </c>
      <c r="E99" s="307">
        <f>'[1]7. ΤΡΙΠΟΛΗ'!V18</f>
        <v>2</v>
      </c>
      <c r="F99" s="307">
        <f>'[1]7. ΤΡΙΠΟΛΗ'!W18</f>
        <v>2</v>
      </c>
      <c r="G99" s="307">
        <f>'[1]7. ΤΡΙΠΟΛΗ'!X18</f>
        <v>1</v>
      </c>
      <c r="H99" s="307">
        <v>1</v>
      </c>
      <c r="I99" s="308">
        <f t="shared" si="17"/>
        <v>7</v>
      </c>
    </row>
    <row r="100" spans="2:18" outlineLevel="2" x14ac:dyDescent="0.25">
      <c r="B100" s="305" t="s">
        <v>290</v>
      </c>
      <c r="C100" s="306" t="s">
        <v>22</v>
      </c>
      <c r="D100" s="307">
        <v>0</v>
      </c>
      <c r="E100" s="307">
        <v>3</v>
      </c>
      <c r="F100" s="307">
        <v>3</v>
      </c>
      <c r="G100" s="307">
        <v>3</v>
      </c>
      <c r="H100" s="307">
        <v>1</v>
      </c>
      <c r="I100" s="308">
        <f t="shared" si="17"/>
        <v>10</v>
      </c>
    </row>
    <row r="101" spans="2:18" outlineLevel="2" x14ac:dyDescent="0.25">
      <c r="B101" s="305" t="s">
        <v>291</v>
      </c>
      <c r="C101" s="306" t="s">
        <v>22</v>
      </c>
      <c r="D101" s="307">
        <v>0</v>
      </c>
      <c r="E101" s="307">
        <f>'[1]2. ΜΕΓΑΛΟΠΟΛΗ'!V18</f>
        <v>0</v>
      </c>
      <c r="F101" s="307">
        <f>'[1]2. ΜΕΓΑΛΟΠΟΛΗ'!W18</f>
        <v>0</v>
      </c>
      <c r="G101" s="307">
        <f>'[1]2. ΜΕΓΑΛΟΠΟΛΗ'!X18</f>
        <v>0</v>
      </c>
      <c r="H101" s="307"/>
      <c r="I101" s="308">
        <f t="shared" si="17"/>
        <v>0</v>
      </c>
    </row>
    <row r="102" spans="2:18" outlineLevel="2" x14ac:dyDescent="0.25">
      <c r="B102" s="305" t="s">
        <v>307</v>
      </c>
      <c r="C102" s="306" t="s">
        <v>22</v>
      </c>
      <c r="D102" s="307">
        <v>0</v>
      </c>
      <c r="E102" s="307">
        <v>0</v>
      </c>
      <c r="F102" s="307">
        <v>0</v>
      </c>
      <c r="G102" s="307">
        <v>0</v>
      </c>
      <c r="H102" s="307">
        <v>0</v>
      </c>
      <c r="I102" s="308">
        <f t="shared" si="17"/>
        <v>0</v>
      </c>
    </row>
    <row r="103" spans="2:18" outlineLevel="2" x14ac:dyDescent="0.25">
      <c r="B103" s="305" t="s">
        <v>304</v>
      </c>
      <c r="C103" s="306" t="s">
        <v>22</v>
      </c>
      <c r="D103" s="307">
        <v>0</v>
      </c>
      <c r="E103" s="307">
        <v>0</v>
      </c>
      <c r="F103" s="307">
        <v>0</v>
      </c>
      <c r="G103" s="307">
        <v>0</v>
      </c>
      <c r="H103" s="307">
        <v>0</v>
      </c>
      <c r="I103" s="308">
        <f t="shared" si="17"/>
        <v>0</v>
      </c>
    </row>
    <row r="104" spans="2:18" outlineLevel="2" x14ac:dyDescent="0.25">
      <c r="B104" s="305" t="s">
        <v>305</v>
      </c>
      <c r="C104" s="306" t="s">
        <v>22</v>
      </c>
      <c r="D104" s="307">
        <v>0</v>
      </c>
      <c r="E104" s="307">
        <v>0</v>
      </c>
      <c r="F104" s="307">
        <v>0</v>
      </c>
      <c r="G104" s="307">
        <v>0</v>
      </c>
      <c r="H104" s="307">
        <v>0</v>
      </c>
      <c r="I104" s="308">
        <f t="shared" si="17"/>
        <v>0</v>
      </c>
    </row>
    <row r="105" spans="2:18" outlineLevel="2" x14ac:dyDescent="0.25">
      <c r="B105" s="305" t="s">
        <v>306</v>
      </c>
      <c r="C105" s="306" t="s">
        <v>22</v>
      </c>
      <c r="D105" s="307">
        <v>0</v>
      </c>
      <c r="E105" s="307">
        <f>1</f>
        <v>1</v>
      </c>
      <c r="F105" s="307">
        <f>1</f>
        <v>1</v>
      </c>
      <c r="G105" s="307">
        <v>0</v>
      </c>
      <c r="H105" s="307">
        <v>0</v>
      </c>
      <c r="I105" s="308">
        <f t="shared" si="17"/>
        <v>2</v>
      </c>
    </row>
    <row r="106" spans="2:18" outlineLevel="2" x14ac:dyDescent="0.25">
      <c r="B106" s="305" t="s">
        <v>308</v>
      </c>
      <c r="C106" s="306" t="s">
        <v>22</v>
      </c>
      <c r="D106" s="307">
        <v>0</v>
      </c>
      <c r="E106" s="307">
        <v>0</v>
      </c>
      <c r="F106" s="307">
        <v>0</v>
      </c>
      <c r="G106" s="307">
        <v>0</v>
      </c>
      <c r="H106" s="307">
        <v>0</v>
      </c>
      <c r="I106" s="308">
        <f t="shared" si="17"/>
        <v>0</v>
      </c>
    </row>
    <row r="107" spans="2:18" outlineLevel="2" x14ac:dyDescent="0.25">
      <c r="B107" s="305"/>
      <c r="C107" s="306"/>
      <c r="D107" s="307">
        <v>0</v>
      </c>
      <c r="E107" s="307">
        <v>0</v>
      </c>
      <c r="F107" s="307">
        <v>0</v>
      </c>
      <c r="G107" s="307">
        <v>0</v>
      </c>
      <c r="H107" s="307">
        <v>0</v>
      </c>
      <c r="I107" s="308">
        <f t="shared" si="17"/>
        <v>0</v>
      </c>
    </row>
    <row r="108" spans="2:18" ht="15" customHeight="1" outlineLevel="2" x14ac:dyDescent="0.25">
      <c r="B108" s="358" t="s">
        <v>90</v>
      </c>
      <c r="C108" s="359"/>
      <c r="D108" s="359"/>
      <c r="E108" s="359"/>
      <c r="F108" s="359"/>
      <c r="G108" s="359"/>
      <c r="H108" s="359"/>
      <c r="I108" s="360"/>
    </row>
    <row r="109" spans="2:18" outlineLevel="2" x14ac:dyDescent="0.25">
      <c r="B109" s="305" t="s">
        <v>84</v>
      </c>
      <c r="C109" s="309" t="s">
        <v>22</v>
      </c>
      <c r="D109" s="310">
        <f t="shared" ref="D109:I109" si="18">SUM(D93:D107)</f>
        <v>2</v>
      </c>
      <c r="E109" s="310">
        <f t="shared" si="18"/>
        <v>14</v>
      </c>
      <c r="F109" s="310">
        <f t="shared" si="18"/>
        <v>12</v>
      </c>
      <c r="G109" s="310">
        <f t="shared" si="18"/>
        <v>9</v>
      </c>
      <c r="H109" s="310">
        <f t="shared" si="18"/>
        <v>4</v>
      </c>
      <c r="I109" s="310">
        <f t="shared" si="18"/>
        <v>41</v>
      </c>
    </row>
    <row r="110" spans="2:18" outlineLevel="1" x14ac:dyDescent="0.25">
      <c r="B110" s="311"/>
      <c r="C110" s="311"/>
      <c r="D110" s="311"/>
      <c r="E110" s="311"/>
      <c r="F110" s="311"/>
      <c r="G110" s="311"/>
      <c r="H110" s="311"/>
      <c r="I110" s="311"/>
    </row>
    <row r="111" spans="2:18" outlineLevel="1" x14ac:dyDescent="0.25">
      <c r="B111" s="299" t="s">
        <v>12</v>
      </c>
      <c r="C111" s="300"/>
      <c r="D111" s="300"/>
      <c r="E111" s="300"/>
      <c r="F111" s="300"/>
      <c r="G111" s="300"/>
      <c r="H111" s="300"/>
      <c r="I111" s="300"/>
      <c r="J111" s="57"/>
      <c r="K111" s="57"/>
      <c r="L111" s="57"/>
      <c r="M111" s="57"/>
      <c r="N111" s="57"/>
      <c r="O111" s="57"/>
      <c r="P111" s="57"/>
      <c r="Q111" s="57"/>
      <c r="R111" s="57"/>
    </row>
    <row r="112" spans="2:18" outlineLevel="2" x14ac:dyDescent="0.25">
      <c r="B112" s="301"/>
      <c r="C112" s="302" t="s">
        <v>20</v>
      </c>
      <c r="D112" s="303">
        <f>$C$3</f>
        <v>2023</v>
      </c>
      <c r="E112" s="303">
        <f>$C$3+1</f>
        <v>2024</v>
      </c>
      <c r="F112" s="303">
        <f>$C$3+2</f>
        <v>2025</v>
      </c>
      <c r="G112" s="303">
        <f>$C$3+3</f>
        <v>2026</v>
      </c>
      <c r="H112" s="303">
        <f>$C$3+4</f>
        <v>2027</v>
      </c>
      <c r="I112" s="304" t="str">
        <f>D112&amp; "-"&amp;H112</f>
        <v>2023-2027</v>
      </c>
    </row>
    <row r="113" spans="2:9" outlineLevel="2" x14ac:dyDescent="0.25">
      <c r="B113" s="305" t="s">
        <v>283</v>
      </c>
      <c r="C113" s="306" t="s">
        <v>22</v>
      </c>
      <c r="D113" s="307">
        <f>'[1]1. ΔΕΣΚΑΤΗ'!U19</f>
        <v>0</v>
      </c>
      <c r="E113" s="307">
        <v>0</v>
      </c>
      <c r="F113" s="307">
        <v>0</v>
      </c>
      <c r="G113" s="307">
        <v>0</v>
      </c>
      <c r="H113" s="307">
        <v>0</v>
      </c>
      <c r="I113" s="308">
        <f t="shared" ref="I113:I121" si="19">D113+E113+F113+G113+H113</f>
        <v>0</v>
      </c>
    </row>
    <row r="114" spans="2:9" outlineLevel="2" x14ac:dyDescent="0.25">
      <c r="B114" s="305" t="s">
        <v>284</v>
      </c>
      <c r="C114" s="306" t="s">
        <v>22</v>
      </c>
      <c r="D114" s="307">
        <v>0</v>
      </c>
      <c r="E114" s="307">
        <v>0</v>
      </c>
      <c r="F114" s="307">
        <v>0</v>
      </c>
      <c r="G114" s="307">
        <v>0</v>
      </c>
      <c r="H114" s="307">
        <v>0</v>
      </c>
      <c r="I114" s="308">
        <f t="shared" si="19"/>
        <v>0</v>
      </c>
    </row>
    <row r="115" spans="2:9" outlineLevel="2" x14ac:dyDescent="0.25">
      <c r="B115" s="305" t="s">
        <v>285</v>
      </c>
      <c r="C115" s="306" t="s">
        <v>22</v>
      </c>
      <c r="D115" s="307">
        <v>0</v>
      </c>
      <c r="E115" s="307"/>
      <c r="F115" s="307"/>
      <c r="G115" s="307"/>
      <c r="H115" s="307">
        <v>0</v>
      </c>
      <c r="I115" s="308">
        <f t="shared" si="19"/>
        <v>0</v>
      </c>
    </row>
    <row r="116" spans="2:9" outlineLevel="2" x14ac:dyDescent="0.25">
      <c r="B116" s="305" t="s">
        <v>286</v>
      </c>
      <c r="C116" s="306" t="s">
        <v>22</v>
      </c>
      <c r="D116" s="307">
        <v>0</v>
      </c>
      <c r="E116" s="307">
        <v>1</v>
      </c>
      <c r="F116" s="307">
        <v>0</v>
      </c>
      <c r="G116" s="307">
        <v>0</v>
      </c>
      <c r="H116" s="307">
        <v>1</v>
      </c>
      <c r="I116" s="308">
        <f t="shared" si="19"/>
        <v>2</v>
      </c>
    </row>
    <row r="117" spans="2:9" outlineLevel="2" x14ac:dyDescent="0.25">
      <c r="B117" s="305" t="s">
        <v>287</v>
      </c>
      <c r="C117" s="306" t="s">
        <v>22</v>
      </c>
      <c r="D117" s="307">
        <v>0</v>
      </c>
      <c r="E117" s="307">
        <v>1</v>
      </c>
      <c r="F117" s="307">
        <v>0</v>
      </c>
      <c r="G117" s="307">
        <v>0</v>
      </c>
      <c r="H117" s="307">
        <v>0</v>
      </c>
      <c r="I117" s="308">
        <f t="shared" si="19"/>
        <v>1</v>
      </c>
    </row>
    <row r="118" spans="2:9" outlineLevel="2" x14ac:dyDescent="0.25">
      <c r="B118" s="305" t="s">
        <v>288</v>
      </c>
      <c r="C118" s="306" t="s">
        <v>22</v>
      </c>
      <c r="D118" s="307">
        <v>1</v>
      </c>
      <c r="E118" s="307">
        <v>0</v>
      </c>
      <c r="F118" s="307">
        <v>0</v>
      </c>
      <c r="G118" s="307">
        <v>0</v>
      </c>
      <c r="H118" s="307">
        <v>0</v>
      </c>
      <c r="I118" s="308">
        <f t="shared" si="19"/>
        <v>1</v>
      </c>
    </row>
    <row r="119" spans="2:9" outlineLevel="2" x14ac:dyDescent="0.25">
      <c r="B119" s="305" t="s">
        <v>289</v>
      </c>
      <c r="C119" s="306" t="s">
        <v>22</v>
      </c>
      <c r="D119" s="307">
        <v>1</v>
      </c>
      <c r="E119" s="307">
        <v>1</v>
      </c>
      <c r="F119" s="307">
        <v>0</v>
      </c>
      <c r="G119" s="307">
        <v>0</v>
      </c>
      <c r="H119" s="307">
        <v>0</v>
      </c>
      <c r="I119" s="308">
        <f>D119+E119+F119+G119+H119</f>
        <v>2</v>
      </c>
    </row>
    <row r="120" spans="2:9" outlineLevel="2" x14ac:dyDescent="0.25">
      <c r="B120" s="305" t="s">
        <v>290</v>
      </c>
      <c r="C120" s="306" t="s">
        <v>22</v>
      </c>
      <c r="D120" s="307">
        <v>1</v>
      </c>
      <c r="E120" s="307">
        <v>1</v>
      </c>
      <c r="F120" s="307">
        <v>0</v>
      </c>
      <c r="G120" s="307">
        <v>0</v>
      </c>
      <c r="H120" s="307">
        <v>0</v>
      </c>
      <c r="I120" s="308">
        <f t="shared" si="19"/>
        <v>2</v>
      </c>
    </row>
    <row r="121" spans="2:9" outlineLevel="2" x14ac:dyDescent="0.25">
      <c r="B121" s="305" t="s">
        <v>291</v>
      </c>
      <c r="C121" s="306" t="s">
        <v>22</v>
      </c>
      <c r="D121" s="307">
        <v>1</v>
      </c>
      <c r="E121" s="307">
        <v>0</v>
      </c>
      <c r="F121" s="307">
        <v>0</v>
      </c>
      <c r="G121" s="307">
        <v>0</v>
      </c>
      <c r="H121" s="307">
        <v>0</v>
      </c>
      <c r="I121" s="308">
        <f t="shared" si="19"/>
        <v>1</v>
      </c>
    </row>
    <row r="122" spans="2:9" outlineLevel="2" x14ac:dyDescent="0.25">
      <c r="B122" s="305" t="s">
        <v>307</v>
      </c>
      <c r="C122" s="306" t="s">
        <v>22</v>
      </c>
      <c r="D122" s="307"/>
      <c r="E122" s="307"/>
      <c r="F122" s="307"/>
      <c r="G122" s="307"/>
      <c r="H122" s="307"/>
      <c r="I122" s="308"/>
    </row>
    <row r="123" spans="2:9" outlineLevel="2" x14ac:dyDescent="0.25">
      <c r="B123" s="305" t="s">
        <v>304</v>
      </c>
      <c r="C123" s="306" t="s">
        <v>22</v>
      </c>
      <c r="D123" s="307"/>
      <c r="E123" s="307"/>
      <c r="F123" s="307"/>
      <c r="G123" s="307"/>
      <c r="H123" s="307"/>
      <c r="I123" s="308"/>
    </row>
    <row r="124" spans="2:9" outlineLevel="2" x14ac:dyDescent="0.25">
      <c r="B124" s="305" t="s">
        <v>305</v>
      </c>
      <c r="C124" s="306" t="s">
        <v>22</v>
      </c>
      <c r="D124" s="307"/>
      <c r="E124" s="307"/>
      <c r="F124" s="307"/>
      <c r="G124" s="307"/>
      <c r="H124" s="307"/>
      <c r="I124" s="308"/>
    </row>
    <row r="125" spans="2:9" outlineLevel="2" x14ac:dyDescent="0.25">
      <c r="B125" s="305" t="s">
        <v>306</v>
      </c>
      <c r="C125" s="306" t="s">
        <v>22</v>
      </c>
      <c r="D125" s="307"/>
      <c r="E125" s="307"/>
      <c r="F125" s="307"/>
      <c r="G125" s="307"/>
      <c r="H125" s="307"/>
      <c r="I125" s="308"/>
    </row>
    <row r="126" spans="2:9" outlineLevel="2" x14ac:dyDescent="0.25">
      <c r="B126" s="305" t="s">
        <v>308</v>
      </c>
      <c r="C126" s="306" t="s">
        <v>22</v>
      </c>
      <c r="D126" s="307"/>
      <c r="E126" s="307"/>
      <c r="F126" s="307"/>
      <c r="G126" s="307"/>
      <c r="H126" s="307"/>
      <c r="I126" s="308"/>
    </row>
    <row r="127" spans="2:9" outlineLevel="2" x14ac:dyDescent="0.25">
      <c r="B127" s="305"/>
      <c r="C127" s="306"/>
      <c r="D127" s="307"/>
      <c r="E127" s="307"/>
      <c r="F127" s="307"/>
      <c r="G127" s="307"/>
      <c r="H127" s="307"/>
      <c r="I127" s="308"/>
    </row>
    <row r="128" spans="2:9" ht="15" customHeight="1" outlineLevel="2" x14ac:dyDescent="0.25">
      <c r="B128" s="358" t="s">
        <v>90</v>
      </c>
      <c r="C128" s="359"/>
      <c r="D128" s="359"/>
      <c r="E128" s="359"/>
      <c r="F128" s="359"/>
      <c r="G128" s="359"/>
      <c r="H128" s="359"/>
      <c r="I128" s="360"/>
    </row>
    <row r="129" spans="2:18" outlineLevel="2" x14ac:dyDescent="0.25">
      <c r="B129" s="305" t="s">
        <v>84</v>
      </c>
      <c r="C129" s="309" t="s">
        <v>22</v>
      </c>
      <c r="D129" s="310">
        <f t="shared" ref="D129:I129" si="20">SUM(D113:D127)</f>
        <v>4</v>
      </c>
      <c r="E129" s="310">
        <f t="shared" si="20"/>
        <v>4</v>
      </c>
      <c r="F129" s="310">
        <f t="shared" si="20"/>
        <v>0</v>
      </c>
      <c r="G129" s="310">
        <f t="shared" si="20"/>
        <v>0</v>
      </c>
      <c r="H129" s="310">
        <f t="shared" si="20"/>
        <v>1</v>
      </c>
      <c r="I129" s="310">
        <f t="shared" si="20"/>
        <v>9</v>
      </c>
    </row>
    <row r="130" spans="2:18" outlineLevel="1" x14ac:dyDescent="0.25"/>
    <row r="131" spans="2:18" ht="15.75" x14ac:dyDescent="0.25">
      <c r="B131" s="352" t="s">
        <v>136</v>
      </c>
      <c r="C131" s="352"/>
      <c r="D131" s="352"/>
      <c r="E131" s="352"/>
      <c r="F131" s="352"/>
      <c r="G131" s="352"/>
      <c r="H131" s="352"/>
      <c r="I131" s="352"/>
    </row>
    <row r="132" spans="2:18" ht="6.6" customHeight="1" x14ac:dyDescent="0.25"/>
    <row r="133" spans="2:18" outlineLevel="1" x14ac:dyDescent="0.25">
      <c r="B133" s="75" t="s">
        <v>203</v>
      </c>
      <c r="C133" s="76"/>
      <c r="D133" s="76"/>
      <c r="E133" s="76"/>
      <c r="F133" s="76"/>
      <c r="G133" s="76"/>
      <c r="H133" s="76"/>
      <c r="I133" s="76"/>
      <c r="J133" s="57"/>
      <c r="K133" s="57"/>
      <c r="L133" s="57"/>
      <c r="M133" s="57"/>
      <c r="N133" s="57"/>
      <c r="O133" s="57"/>
      <c r="P133" s="57"/>
      <c r="Q133" s="57"/>
      <c r="R133" s="57"/>
    </row>
    <row r="134" spans="2:18" outlineLevel="2" x14ac:dyDescent="0.25">
      <c r="B134" s="58"/>
      <c r="C134" s="79" t="s">
        <v>20</v>
      </c>
      <c r="D134" s="77">
        <f>$C$3</f>
        <v>2023</v>
      </c>
      <c r="E134" s="77">
        <f>$C$3+1</f>
        <v>2024</v>
      </c>
      <c r="F134" s="77">
        <f>$C$3+2</f>
        <v>2025</v>
      </c>
      <c r="G134" s="77">
        <f>$C$3+3</f>
        <v>2026</v>
      </c>
      <c r="H134" s="77">
        <f>$C$3+4</f>
        <v>2027</v>
      </c>
      <c r="I134" s="51" t="str">
        <f>D134&amp; " - "&amp;H134</f>
        <v>2023 - 2027</v>
      </c>
    </row>
    <row r="135" spans="2:18" outlineLevel="2" x14ac:dyDescent="0.25">
      <c r="B135" s="52" t="s">
        <v>283</v>
      </c>
      <c r="C135" s="53" t="s">
        <v>26</v>
      </c>
      <c r="D135" s="6">
        <v>697.19999999999993</v>
      </c>
      <c r="E135" s="6">
        <v>4585</v>
      </c>
      <c r="F135" s="6">
        <v>6056.4</v>
      </c>
      <c r="G135" s="6">
        <v>6577.9</v>
      </c>
      <c r="H135" s="6">
        <v>168</v>
      </c>
      <c r="I135" s="185">
        <f t="shared" ref="I135:I149" si="21">D135+E135+F135+G135+H135</f>
        <v>18084.5</v>
      </c>
      <c r="K135" s="40"/>
      <c r="L135" s="40"/>
      <c r="M135" s="40"/>
      <c r="N135" s="40"/>
      <c r="O135" s="40"/>
    </row>
    <row r="136" spans="2:18" outlineLevel="2" x14ac:dyDescent="0.25">
      <c r="B136" s="52" t="s">
        <v>284</v>
      </c>
      <c r="C136" s="53" t="s">
        <v>26</v>
      </c>
      <c r="D136" s="6">
        <v>836.5</v>
      </c>
      <c r="E136" s="6">
        <v>6098.4</v>
      </c>
      <c r="F136" s="6">
        <v>9644.5999999999985</v>
      </c>
      <c r="G136" s="6">
        <v>10817.099999999999</v>
      </c>
      <c r="H136" s="6">
        <v>147</v>
      </c>
      <c r="I136" s="185">
        <f t="shared" si="21"/>
        <v>27543.599999999999</v>
      </c>
      <c r="K136" s="40"/>
      <c r="L136" s="40"/>
      <c r="M136" s="40"/>
      <c r="N136" s="40"/>
      <c r="O136" s="40"/>
    </row>
    <row r="137" spans="2:18" outlineLevel="2" x14ac:dyDescent="0.25">
      <c r="B137" s="52" t="s">
        <v>285</v>
      </c>
      <c r="C137" s="53" t="s">
        <v>26</v>
      </c>
      <c r="D137" s="6">
        <v>791</v>
      </c>
      <c r="E137" s="6">
        <v>5905.2</v>
      </c>
      <c r="F137" s="6">
        <v>8836.7999999999993</v>
      </c>
      <c r="G137" s="6">
        <v>9970.7999999999993</v>
      </c>
      <c r="H137" s="6">
        <v>336</v>
      </c>
      <c r="I137" s="185">
        <f t="shared" si="21"/>
        <v>25839.8</v>
      </c>
      <c r="K137" s="40"/>
      <c r="L137" s="40"/>
      <c r="M137" s="40"/>
      <c r="N137" s="40"/>
      <c r="O137" s="40"/>
    </row>
    <row r="138" spans="2:18" outlineLevel="2" x14ac:dyDescent="0.25">
      <c r="B138" s="52" t="s">
        <v>286</v>
      </c>
      <c r="C138" s="53" t="s">
        <v>26</v>
      </c>
      <c r="D138" s="6">
        <v>1206.8</v>
      </c>
      <c r="E138" s="6">
        <v>18221</v>
      </c>
      <c r="F138" s="6">
        <v>29445.499999999996</v>
      </c>
      <c r="G138" s="6">
        <v>33948.6</v>
      </c>
      <c r="H138" s="6">
        <v>1449</v>
      </c>
      <c r="I138" s="185">
        <f t="shared" si="21"/>
        <v>84270.9</v>
      </c>
      <c r="J138" s="40"/>
      <c r="K138" s="40"/>
      <c r="L138" s="40"/>
      <c r="M138" s="40"/>
      <c r="N138" s="40"/>
      <c r="O138" s="40"/>
    </row>
    <row r="139" spans="2:18" outlineLevel="2" x14ac:dyDescent="0.25">
      <c r="B139" s="52" t="s">
        <v>287</v>
      </c>
      <c r="C139" s="53" t="s">
        <v>26</v>
      </c>
      <c r="D139" s="6">
        <v>0</v>
      </c>
      <c r="E139" s="6">
        <v>12393.5</v>
      </c>
      <c r="F139" s="6">
        <v>23698.5</v>
      </c>
      <c r="G139" s="6">
        <v>34730.5</v>
      </c>
      <c r="H139" s="6">
        <v>3611.9999999999995</v>
      </c>
      <c r="I139" s="185">
        <f t="shared" si="21"/>
        <v>74434.5</v>
      </c>
      <c r="K139" s="40"/>
      <c r="L139" s="40"/>
      <c r="M139" s="40"/>
      <c r="N139" s="40"/>
      <c r="O139" s="40"/>
    </row>
    <row r="140" spans="2:18" outlineLevel="2" x14ac:dyDescent="0.25">
      <c r="B140" s="52" t="s">
        <v>288</v>
      </c>
      <c r="C140" s="53" t="s">
        <v>26</v>
      </c>
      <c r="D140" s="6">
        <v>840.69999999999993</v>
      </c>
      <c r="E140" s="6">
        <v>4790.0999999999995</v>
      </c>
      <c r="F140" s="6">
        <v>7943.5999999999995</v>
      </c>
      <c r="G140" s="6">
        <v>8923.5999999999985</v>
      </c>
      <c r="H140" s="6">
        <v>262.5</v>
      </c>
      <c r="I140" s="185">
        <f t="shared" si="21"/>
        <v>22760.499999999996</v>
      </c>
      <c r="K140" s="40"/>
      <c r="L140" s="40"/>
      <c r="M140" s="40"/>
      <c r="N140" s="40"/>
      <c r="O140" s="40"/>
    </row>
    <row r="141" spans="2:18" outlineLevel="2" x14ac:dyDescent="0.25">
      <c r="B141" s="52" t="s">
        <v>289</v>
      </c>
      <c r="C141" s="53" t="s">
        <v>26</v>
      </c>
      <c r="D141" s="6">
        <v>1205.3999999999999</v>
      </c>
      <c r="E141" s="6">
        <v>23128</v>
      </c>
      <c r="F141" s="6">
        <v>37571.799999999996</v>
      </c>
      <c r="G141" s="6">
        <v>52185</v>
      </c>
      <c r="H141" s="6">
        <v>5512.5</v>
      </c>
      <c r="I141" s="185">
        <f t="shared" si="21"/>
        <v>119602.7</v>
      </c>
      <c r="K141" s="40"/>
      <c r="L141" s="40"/>
      <c r="M141" s="40"/>
      <c r="N141" s="40"/>
      <c r="O141" s="40"/>
    </row>
    <row r="142" spans="2:18" outlineLevel="2" x14ac:dyDescent="0.25">
      <c r="B142" s="52" t="s">
        <v>290</v>
      </c>
      <c r="C142" s="53" t="s">
        <v>26</v>
      </c>
      <c r="D142" s="6">
        <v>1561</v>
      </c>
      <c r="E142" s="6">
        <v>24865.399999999998</v>
      </c>
      <c r="F142" s="6">
        <v>42942.899999999994</v>
      </c>
      <c r="G142" s="6">
        <v>59264.799999999996</v>
      </c>
      <c r="H142" s="6">
        <v>5512.5</v>
      </c>
      <c r="I142" s="185">
        <f t="shared" si="21"/>
        <v>134146.59999999998</v>
      </c>
      <c r="K142" s="40"/>
      <c r="L142" s="40"/>
      <c r="M142" s="40"/>
      <c r="N142" s="40"/>
      <c r="O142" s="40"/>
    </row>
    <row r="143" spans="2:18" outlineLevel="2" x14ac:dyDescent="0.25">
      <c r="B143" s="52" t="s">
        <v>291</v>
      </c>
      <c r="C143" s="53" t="s">
        <v>26</v>
      </c>
      <c r="D143" s="6">
        <v>5765.2</v>
      </c>
      <c r="E143" s="6">
        <v>19030.199999999997</v>
      </c>
      <c r="F143" s="6">
        <v>19400.5</v>
      </c>
      <c r="G143" s="6">
        <v>19757.5</v>
      </c>
      <c r="H143" s="6">
        <v>178.5</v>
      </c>
      <c r="I143" s="185">
        <f t="shared" si="21"/>
        <v>64131.899999999994</v>
      </c>
      <c r="K143" s="40"/>
      <c r="L143" s="40"/>
      <c r="M143" s="40"/>
      <c r="N143" s="40"/>
      <c r="O143" s="40"/>
    </row>
    <row r="144" spans="2:18" outlineLevel="2" x14ac:dyDescent="0.25">
      <c r="B144" s="305" t="s">
        <v>307</v>
      </c>
      <c r="C144" s="53" t="s">
        <v>26</v>
      </c>
      <c r="D144" s="6">
        <v>1954.7</v>
      </c>
      <c r="E144" s="6">
        <v>3020.9</v>
      </c>
      <c r="F144" s="6">
        <v>3198.6</v>
      </c>
      <c r="G144" s="6">
        <v>1954.7</v>
      </c>
      <c r="H144" s="6">
        <v>1599.3</v>
      </c>
      <c r="I144" s="185">
        <f t="shared" si="21"/>
        <v>11728.2</v>
      </c>
      <c r="K144" s="40"/>
      <c r="L144" s="40"/>
      <c r="M144" s="40"/>
      <c r="N144" s="40"/>
      <c r="O144" s="40"/>
    </row>
    <row r="145" spans="2:18" outlineLevel="2" x14ac:dyDescent="0.25">
      <c r="B145" s="305" t="s">
        <v>304</v>
      </c>
      <c r="C145" s="53" t="s">
        <v>26</v>
      </c>
      <c r="D145" s="6">
        <v>1954.7</v>
      </c>
      <c r="E145" s="6">
        <v>3020.9</v>
      </c>
      <c r="F145" s="6">
        <v>4975.5999999999995</v>
      </c>
      <c r="G145" s="6">
        <v>2310.1</v>
      </c>
      <c r="H145" s="6">
        <v>1599.3</v>
      </c>
      <c r="I145" s="185">
        <f t="shared" si="21"/>
        <v>13860.6</v>
      </c>
      <c r="K145" s="40"/>
      <c r="L145" s="40"/>
      <c r="M145" s="40"/>
      <c r="N145" s="40"/>
      <c r="O145" s="40"/>
    </row>
    <row r="146" spans="2:18" outlineLevel="2" x14ac:dyDescent="0.25">
      <c r="B146" s="305" t="s">
        <v>305</v>
      </c>
      <c r="C146" s="53" t="s">
        <v>26</v>
      </c>
      <c r="D146" s="6">
        <v>1954.7</v>
      </c>
      <c r="E146" s="6">
        <v>3020.9</v>
      </c>
      <c r="F146" s="6">
        <v>4264.8</v>
      </c>
      <c r="G146" s="6">
        <v>1954.7</v>
      </c>
      <c r="H146" s="6">
        <v>1599.3</v>
      </c>
      <c r="I146" s="185">
        <f t="shared" si="21"/>
        <v>12794.400000000001</v>
      </c>
      <c r="K146" s="40"/>
      <c r="L146" s="40"/>
      <c r="M146" s="40"/>
      <c r="N146" s="40"/>
      <c r="O146" s="40"/>
    </row>
    <row r="147" spans="2:18" outlineLevel="2" x14ac:dyDescent="0.25">
      <c r="B147" s="305" t="s">
        <v>306</v>
      </c>
      <c r="C147" s="53" t="s">
        <v>26</v>
      </c>
      <c r="D147" s="6">
        <v>3767.24</v>
      </c>
      <c r="E147" s="6">
        <v>4406.96</v>
      </c>
      <c r="F147" s="6">
        <v>5757.48</v>
      </c>
      <c r="G147" s="6">
        <v>5650.86</v>
      </c>
      <c r="H147" s="6">
        <v>3554</v>
      </c>
      <c r="I147" s="185">
        <f t="shared" si="21"/>
        <v>23136.54</v>
      </c>
      <c r="K147" s="40"/>
      <c r="L147" s="40"/>
      <c r="M147" s="40"/>
      <c r="N147" s="40"/>
      <c r="O147" s="40"/>
    </row>
    <row r="148" spans="2:18" outlineLevel="2" x14ac:dyDescent="0.25">
      <c r="B148" s="305" t="s">
        <v>308</v>
      </c>
      <c r="C148" s="53" t="s">
        <v>26</v>
      </c>
      <c r="D148" s="6">
        <v>3020.9</v>
      </c>
      <c r="E148" s="6">
        <v>3554</v>
      </c>
      <c r="F148" s="6">
        <v>4335.88</v>
      </c>
      <c r="G148" s="6">
        <v>3554</v>
      </c>
      <c r="H148" s="6">
        <v>3554</v>
      </c>
      <c r="I148" s="185">
        <f t="shared" si="21"/>
        <v>18018.78</v>
      </c>
      <c r="K148" s="40"/>
      <c r="L148" s="40"/>
      <c r="M148" s="40"/>
      <c r="N148" s="40"/>
      <c r="O148" s="40"/>
    </row>
    <row r="149" spans="2:18" outlineLevel="2" x14ac:dyDescent="0.25">
      <c r="B149" s="52"/>
      <c r="C149" s="53"/>
      <c r="D149" s="6"/>
      <c r="E149" s="6"/>
      <c r="F149" s="6"/>
      <c r="G149" s="6"/>
      <c r="H149" s="6"/>
      <c r="I149" s="185">
        <f t="shared" si="21"/>
        <v>0</v>
      </c>
      <c r="K149" s="40"/>
      <c r="L149" s="40"/>
      <c r="M149" s="40"/>
      <c r="N149" s="40"/>
      <c r="O149" s="40"/>
    </row>
    <row r="150" spans="2:18" ht="15" customHeight="1" outlineLevel="2" x14ac:dyDescent="0.25">
      <c r="B150" s="349" t="s">
        <v>90</v>
      </c>
      <c r="C150" s="350"/>
      <c r="D150" s="350"/>
      <c r="E150" s="350"/>
      <c r="F150" s="350"/>
      <c r="G150" s="350"/>
      <c r="H150" s="350"/>
      <c r="I150" s="351"/>
    </row>
    <row r="151" spans="2:18" outlineLevel="2" x14ac:dyDescent="0.25">
      <c r="B151" s="52" t="s">
        <v>84</v>
      </c>
      <c r="C151" s="56" t="s">
        <v>26</v>
      </c>
      <c r="D151" s="4">
        <f>SUM(D135:D149)</f>
        <v>25556.04</v>
      </c>
      <c r="E151" s="4">
        <f>SUM(E135:E149)</f>
        <v>136040.45999999996</v>
      </c>
      <c r="F151" s="4">
        <f>SUM(F135:F149)</f>
        <v>208072.95999999999</v>
      </c>
      <c r="G151" s="4">
        <f>SUM(G135:G149)</f>
        <v>251600.16</v>
      </c>
      <c r="H151" s="4">
        <f>SUM(H135:H149)</f>
        <v>29083.899999999998</v>
      </c>
      <c r="I151" s="185">
        <f>D151+E151+F151+G151+H151</f>
        <v>650353.52</v>
      </c>
    </row>
    <row r="152" spans="2:18" outlineLevel="1" x14ac:dyDescent="0.25">
      <c r="L152" s="292"/>
      <c r="M152" s="293"/>
      <c r="N152" s="293"/>
      <c r="O152" s="293"/>
    </row>
    <row r="153" spans="2:18" outlineLevel="1" x14ac:dyDescent="0.25">
      <c r="B153" s="75" t="s">
        <v>205</v>
      </c>
      <c r="C153" s="76"/>
      <c r="D153" s="76"/>
      <c r="E153" s="76"/>
      <c r="F153" s="76"/>
      <c r="G153" s="76"/>
      <c r="H153" s="76"/>
      <c r="I153" s="76"/>
      <c r="J153" s="57"/>
      <c r="K153" s="57"/>
      <c r="L153" s="292"/>
      <c r="M153" s="293"/>
      <c r="N153" s="293"/>
      <c r="O153" s="293"/>
      <c r="P153" s="57"/>
      <c r="Q153" s="57"/>
      <c r="R153" s="57"/>
    </row>
    <row r="154" spans="2:18" outlineLevel="2" x14ac:dyDescent="0.25">
      <c r="B154" s="58"/>
      <c r="C154" s="79" t="s">
        <v>20</v>
      </c>
      <c r="D154" s="77">
        <f>$C$3</f>
        <v>2023</v>
      </c>
      <c r="E154" s="77">
        <f>$C$3+1</f>
        <v>2024</v>
      </c>
      <c r="F154" s="77">
        <f>$C$3+2</f>
        <v>2025</v>
      </c>
      <c r="G154" s="77">
        <f>$C$3+3</f>
        <v>2026</v>
      </c>
      <c r="H154" s="77">
        <f>$C$3+4</f>
        <v>2027</v>
      </c>
      <c r="I154" s="51" t="str">
        <f>D154&amp; "-"&amp;H154</f>
        <v>2023-2027</v>
      </c>
      <c r="L154" s="292"/>
      <c r="M154" s="293"/>
      <c r="N154" s="293"/>
      <c r="O154" s="293"/>
    </row>
    <row r="155" spans="2:18" outlineLevel="2" x14ac:dyDescent="0.25">
      <c r="B155" s="52" t="s">
        <v>283</v>
      </c>
      <c r="C155" s="53" t="s">
        <v>26</v>
      </c>
      <c r="D155" s="6">
        <v>298.8</v>
      </c>
      <c r="E155" s="6">
        <v>1965</v>
      </c>
      <c r="F155" s="6">
        <v>2595.6</v>
      </c>
      <c r="G155" s="6">
        <v>2819.1</v>
      </c>
      <c r="H155" s="6">
        <v>72</v>
      </c>
      <c r="I155" s="185">
        <f t="shared" ref="I155:I169" si="22">D155+E155+F155+G155+H155</f>
        <v>7750.5</v>
      </c>
      <c r="K155" s="40"/>
      <c r="L155" s="40"/>
      <c r="M155" s="40"/>
      <c r="N155" s="40"/>
      <c r="O155" s="40"/>
    </row>
    <row r="156" spans="2:18" outlineLevel="2" x14ac:dyDescent="0.25">
      <c r="B156" s="52" t="s">
        <v>284</v>
      </c>
      <c r="C156" s="53" t="s">
        <v>26</v>
      </c>
      <c r="D156" s="6">
        <v>358.5</v>
      </c>
      <c r="E156" s="6">
        <v>2613.6</v>
      </c>
      <c r="F156" s="6">
        <v>4133.3999999999996</v>
      </c>
      <c r="G156" s="6">
        <v>4635.8999999999996</v>
      </c>
      <c r="H156" s="6">
        <v>63</v>
      </c>
      <c r="I156" s="185">
        <f t="shared" si="22"/>
        <v>11804.4</v>
      </c>
      <c r="K156" s="40"/>
      <c r="L156" s="40"/>
      <c r="M156" s="40"/>
      <c r="N156" s="40"/>
      <c r="O156" s="40"/>
    </row>
    <row r="157" spans="2:18" outlineLevel="2" x14ac:dyDescent="0.25">
      <c r="B157" s="52" t="s">
        <v>285</v>
      </c>
      <c r="C157" s="53" t="s">
        <v>26</v>
      </c>
      <c r="D157" s="6">
        <v>339</v>
      </c>
      <c r="E157" s="6">
        <v>2530.7999999999997</v>
      </c>
      <c r="F157" s="6">
        <v>3787.2</v>
      </c>
      <c r="G157" s="6">
        <v>4273.2</v>
      </c>
      <c r="H157" s="6">
        <v>144</v>
      </c>
      <c r="I157" s="185">
        <f t="shared" si="22"/>
        <v>11074.2</v>
      </c>
      <c r="K157" s="40"/>
      <c r="L157" s="40"/>
      <c r="M157" s="40"/>
      <c r="N157" s="40"/>
      <c r="O157" s="40"/>
    </row>
    <row r="158" spans="2:18" outlineLevel="2" x14ac:dyDescent="0.25">
      <c r="B158" s="52" t="s">
        <v>286</v>
      </c>
      <c r="C158" s="53" t="s">
        <v>26</v>
      </c>
      <c r="D158" s="6">
        <v>517.19999999999993</v>
      </c>
      <c r="E158" s="6">
        <v>7809</v>
      </c>
      <c r="F158" s="6">
        <v>12619.5</v>
      </c>
      <c r="G158" s="6">
        <v>14549.4</v>
      </c>
      <c r="H158" s="6">
        <v>621</v>
      </c>
      <c r="I158" s="185">
        <f t="shared" si="22"/>
        <v>36116.1</v>
      </c>
      <c r="K158" s="40"/>
      <c r="L158" s="40"/>
      <c r="M158" s="40"/>
      <c r="N158" s="40"/>
      <c r="O158" s="40"/>
    </row>
    <row r="159" spans="2:18" outlineLevel="2" x14ac:dyDescent="0.25">
      <c r="B159" s="52" t="s">
        <v>287</v>
      </c>
      <c r="C159" s="53" t="s">
        <v>26</v>
      </c>
      <c r="D159" s="6">
        <v>0</v>
      </c>
      <c r="E159" s="6">
        <v>5311.5</v>
      </c>
      <c r="F159" s="6">
        <v>10156.5</v>
      </c>
      <c r="G159" s="6">
        <v>14884.5</v>
      </c>
      <c r="H159" s="6">
        <v>1548</v>
      </c>
      <c r="I159" s="185">
        <f t="shared" si="22"/>
        <v>31900.5</v>
      </c>
      <c r="J159" s="40"/>
      <c r="K159" s="40"/>
      <c r="L159" s="40"/>
      <c r="M159" s="40"/>
      <c r="N159" s="40"/>
      <c r="O159" s="40"/>
    </row>
    <row r="160" spans="2:18" outlineLevel="2" x14ac:dyDescent="0.25">
      <c r="B160" s="52" t="s">
        <v>288</v>
      </c>
      <c r="C160" s="53" t="s">
        <v>26</v>
      </c>
      <c r="D160" s="6">
        <v>360.3</v>
      </c>
      <c r="E160" s="6">
        <v>2052.9</v>
      </c>
      <c r="F160" s="6">
        <v>3404.4</v>
      </c>
      <c r="G160" s="6">
        <v>3824.3999999999996</v>
      </c>
      <c r="H160" s="6">
        <v>112.5</v>
      </c>
      <c r="I160" s="185">
        <f t="shared" si="22"/>
        <v>9754.5</v>
      </c>
      <c r="K160" s="40"/>
      <c r="L160" s="40"/>
      <c r="M160" s="40"/>
      <c r="N160" s="40"/>
      <c r="O160" s="40"/>
    </row>
    <row r="161" spans="2:18" outlineLevel="2" x14ac:dyDescent="0.25">
      <c r="B161" s="52" t="s">
        <v>289</v>
      </c>
      <c r="C161" s="53" t="s">
        <v>26</v>
      </c>
      <c r="D161" s="6">
        <v>516.6</v>
      </c>
      <c r="E161" s="6">
        <v>9912</v>
      </c>
      <c r="F161" s="6">
        <v>16102.199999999999</v>
      </c>
      <c r="G161" s="6">
        <v>22365</v>
      </c>
      <c r="H161" s="6">
        <v>2362.5</v>
      </c>
      <c r="I161" s="185">
        <f t="shared" si="22"/>
        <v>51258.3</v>
      </c>
      <c r="K161" s="40"/>
      <c r="L161" s="40"/>
      <c r="M161" s="40"/>
      <c r="N161" s="40"/>
      <c r="O161" s="40"/>
    </row>
    <row r="162" spans="2:18" outlineLevel="2" x14ac:dyDescent="0.25">
      <c r="B162" s="52" t="s">
        <v>290</v>
      </c>
      <c r="C162" s="53" t="s">
        <v>26</v>
      </c>
      <c r="D162" s="6">
        <v>669</v>
      </c>
      <c r="E162" s="6">
        <v>10656.6</v>
      </c>
      <c r="F162" s="6">
        <v>18404.099999999999</v>
      </c>
      <c r="G162" s="6">
        <v>25399.200000000001</v>
      </c>
      <c r="H162" s="6">
        <v>2362.5</v>
      </c>
      <c r="I162" s="185">
        <f t="shared" si="22"/>
        <v>57491.399999999994</v>
      </c>
      <c r="K162" s="40"/>
      <c r="L162" s="40"/>
      <c r="M162" s="40"/>
      <c r="N162" s="40"/>
      <c r="O162" s="40"/>
    </row>
    <row r="163" spans="2:18" outlineLevel="2" x14ac:dyDescent="0.25">
      <c r="B163" s="52" t="s">
        <v>291</v>
      </c>
      <c r="C163" s="53" t="s">
        <v>26</v>
      </c>
      <c r="D163" s="6">
        <v>2470.7999999999997</v>
      </c>
      <c r="E163" s="6">
        <v>8155.7999999999993</v>
      </c>
      <c r="F163" s="6">
        <v>8314.5</v>
      </c>
      <c r="G163" s="6">
        <v>8467.5</v>
      </c>
      <c r="H163" s="6">
        <v>76.5</v>
      </c>
      <c r="I163" s="185">
        <f t="shared" si="22"/>
        <v>27485.1</v>
      </c>
      <c r="K163" s="40"/>
      <c r="L163" s="40"/>
      <c r="M163" s="40"/>
      <c r="N163" s="40"/>
      <c r="O163" s="40"/>
    </row>
    <row r="164" spans="2:18" outlineLevel="2" x14ac:dyDescent="0.25">
      <c r="B164" s="305" t="s">
        <v>307</v>
      </c>
      <c r="C164" s="53" t="s">
        <v>26</v>
      </c>
      <c r="D164" s="6">
        <v>837.65</v>
      </c>
      <c r="E164" s="6">
        <v>1294.55</v>
      </c>
      <c r="F164" s="6">
        <v>1370.7</v>
      </c>
      <c r="G164" s="6">
        <v>837.65</v>
      </c>
      <c r="H164" s="6">
        <v>685.35</v>
      </c>
      <c r="I164" s="185">
        <f t="shared" si="22"/>
        <v>5025.8999999999996</v>
      </c>
      <c r="K164" s="40"/>
      <c r="L164" s="40"/>
      <c r="M164" s="40"/>
      <c r="N164" s="40"/>
      <c r="O164" s="40"/>
    </row>
    <row r="165" spans="2:18" outlineLevel="2" x14ac:dyDescent="0.25">
      <c r="B165" s="305" t="s">
        <v>304</v>
      </c>
      <c r="C165" s="53" t="s">
        <v>26</v>
      </c>
      <c r="D165" s="6">
        <v>837.65</v>
      </c>
      <c r="E165" s="6">
        <v>1294.55</v>
      </c>
      <c r="F165" s="6">
        <v>2132.2000000000003</v>
      </c>
      <c r="G165" s="6">
        <v>989.95</v>
      </c>
      <c r="H165" s="6">
        <v>685.35</v>
      </c>
      <c r="I165" s="185">
        <f t="shared" si="22"/>
        <v>5939.7</v>
      </c>
      <c r="K165" s="40"/>
      <c r="L165" s="40"/>
      <c r="M165" s="40"/>
      <c r="N165" s="40"/>
      <c r="O165" s="40"/>
    </row>
    <row r="166" spans="2:18" outlineLevel="2" x14ac:dyDescent="0.25">
      <c r="B166" s="305" t="s">
        <v>305</v>
      </c>
      <c r="C166" s="53" t="s">
        <v>26</v>
      </c>
      <c r="D166" s="6">
        <v>837.65</v>
      </c>
      <c r="E166" s="6">
        <v>1294.55</v>
      </c>
      <c r="F166" s="6">
        <v>1827.6000000000001</v>
      </c>
      <c r="G166" s="6">
        <v>837.65</v>
      </c>
      <c r="H166" s="6">
        <v>685.35</v>
      </c>
      <c r="I166" s="185">
        <f t="shared" si="22"/>
        <v>5482.8</v>
      </c>
      <c r="K166" s="40"/>
      <c r="L166" s="40"/>
      <c r="M166" s="40"/>
      <c r="N166" s="40"/>
      <c r="O166" s="40"/>
    </row>
    <row r="167" spans="2:18" outlineLevel="2" x14ac:dyDescent="0.25">
      <c r="B167" s="305" t="s">
        <v>306</v>
      </c>
      <c r="C167" s="53" t="s">
        <v>26</v>
      </c>
      <c r="D167" s="6">
        <v>1614.38</v>
      </c>
      <c r="E167" s="6">
        <v>1888.52</v>
      </c>
      <c r="F167" s="6">
        <v>2467.2600000000002</v>
      </c>
      <c r="G167" s="6">
        <v>2421.5700000000002</v>
      </c>
      <c r="H167" s="6">
        <v>1523</v>
      </c>
      <c r="I167" s="185">
        <f t="shared" si="22"/>
        <v>9914.73</v>
      </c>
      <c r="K167" s="40"/>
      <c r="L167" s="40"/>
      <c r="M167" s="40"/>
      <c r="N167" s="40"/>
      <c r="O167" s="40"/>
    </row>
    <row r="168" spans="2:18" outlineLevel="2" x14ac:dyDescent="0.25">
      <c r="B168" s="305" t="s">
        <v>308</v>
      </c>
      <c r="C168" s="53" t="s">
        <v>26</v>
      </c>
      <c r="D168" s="6">
        <v>1294.55</v>
      </c>
      <c r="E168" s="6">
        <v>1523</v>
      </c>
      <c r="F168" s="6">
        <v>1858.06</v>
      </c>
      <c r="G168" s="6">
        <v>1523</v>
      </c>
      <c r="H168" s="6">
        <v>1523</v>
      </c>
      <c r="I168" s="185">
        <f t="shared" si="22"/>
        <v>7721.6100000000006</v>
      </c>
      <c r="K168" s="40"/>
      <c r="L168" s="40"/>
      <c r="M168" s="40"/>
      <c r="N168" s="40"/>
      <c r="O168" s="40"/>
    </row>
    <row r="169" spans="2:18" outlineLevel="2" x14ac:dyDescent="0.25">
      <c r="B169" s="52"/>
      <c r="C169" s="53"/>
      <c r="D169" s="6"/>
      <c r="E169" s="6"/>
      <c r="F169" s="6"/>
      <c r="G169" s="6"/>
      <c r="H169" s="6"/>
      <c r="I169" s="185">
        <f t="shared" si="22"/>
        <v>0</v>
      </c>
      <c r="K169" s="40"/>
      <c r="L169" s="40"/>
      <c r="M169" s="40"/>
      <c r="N169" s="40"/>
      <c r="O169" s="40"/>
    </row>
    <row r="170" spans="2:18" ht="15" customHeight="1" outlineLevel="2" x14ac:dyDescent="0.25">
      <c r="B170" s="349" t="s">
        <v>90</v>
      </c>
      <c r="C170" s="350"/>
      <c r="D170" s="350"/>
      <c r="E170" s="350"/>
      <c r="F170" s="350"/>
      <c r="G170" s="350"/>
      <c r="H170" s="350"/>
      <c r="I170" s="351"/>
    </row>
    <row r="171" spans="2:18" outlineLevel="2" x14ac:dyDescent="0.25">
      <c r="B171" s="52" t="s">
        <v>84</v>
      </c>
      <c r="C171" s="56" t="s">
        <v>26</v>
      </c>
      <c r="D171" s="4">
        <f>SUM(D155:D169)</f>
        <v>10952.079999999998</v>
      </c>
      <c r="E171" s="4">
        <f>SUM(E155:E169)</f>
        <v>58302.37</v>
      </c>
      <c r="F171" s="4">
        <f>SUM(F155:F169)</f>
        <v>89173.219999999987</v>
      </c>
      <c r="G171" s="4">
        <f>SUM(G155:G169)</f>
        <v>107828.01999999999</v>
      </c>
      <c r="H171" s="4">
        <f>SUM(H155:H169)</f>
        <v>12464.050000000001</v>
      </c>
      <c r="I171" s="185">
        <f>D171+E171+F171+G171+H171</f>
        <v>278719.73999999993</v>
      </c>
    </row>
    <row r="172" spans="2:18" outlineLevel="1" x14ac:dyDescent="0.25"/>
    <row r="173" spans="2:18" outlineLevel="1" x14ac:dyDescent="0.25">
      <c r="B173" s="75" t="s">
        <v>206</v>
      </c>
      <c r="C173" s="76"/>
      <c r="D173" s="76"/>
      <c r="E173" s="76"/>
      <c r="F173" s="76"/>
      <c r="G173" s="76"/>
      <c r="H173" s="76"/>
      <c r="I173" s="76"/>
      <c r="K173" s="57"/>
      <c r="L173" s="57"/>
      <c r="M173" s="57"/>
      <c r="N173" s="57"/>
      <c r="O173" s="57"/>
      <c r="P173" s="57"/>
      <c r="Q173" s="57"/>
      <c r="R173" s="57"/>
    </row>
    <row r="174" spans="2:18" outlineLevel="2" x14ac:dyDescent="0.25">
      <c r="B174" s="58"/>
      <c r="C174" s="79" t="s">
        <v>20</v>
      </c>
      <c r="D174" s="77">
        <f>$C$3</f>
        <v>2023</v>
      </c>
      <c r="E174" s="77">
        <f>$C$3+1</f>
        <v>2024</v>
      </c>
      <c r="F174" s="77">
        <f>$C$3+2</f>
        <v>2025</v>
      </c>
      <c r="G174" s="77">
        <f>$C$3+3</f>
        <v>2026</v>
      </c>
      <c r="H174" s="77">
        <f>$C$3+4</f>
        <v>2027</v>
      </c>
      <c r="I174" s="51" t="str">
        <f>D174&amp; "-"&amp;H174</f>
        <v>2023-2027</v>
      </c>
      <c r="J174" s="57"/>
    </row>
    <row r="175" spans="2:18" outlineLevel="2" x14ac:dyDescent="0.25">
      <c r="B175" s="52" t="s">
        <v>283</v>
      </c>
      <c r="C175" s="53" t="s">
        <v>26</v>
      </c>
      <c r="D175" s="6">
        <f>172+93+34</f>
        <v>299</v>
      </c>
      <c r="E175" s="6">
        <f>918+504+202</f>
        <v>1624</v>
      </c>
      <c r="F175" s="6">
        <f>1389+508+202</f>
        <v>2099</v>
      </c>
      <c r="G175" s="6">
        <f>1389+508+202</f>
        <v>2099</v>
      </c>
      <c r="H175" s="6">
        <f t="shared" ref="H175" si="23">H53*42</f>
        <v>0</v>
      </c>
      <c r="I175" s="185">
        <f t="shared" ref="I175:I189" si="24">D175+E175+F175+G175+H175</f>
        <v>6121</v>
      </c>
    </row>
    <row r="176" spans="2:18" outlineLevel="2" x14ac:dyDescent="0.25">
      <c r="B176" s="52" t="s">
        <v>284</v>
      </c>
      <c r="C176" s="53" t="s">
        <v>26</v>
      </c>
      <c r="D176" s="6">
        <f>239+205+34+82</f>
        <v>560</v>
      </c>
      <c r="E176" s="6">
        <f>896+1344+302+645</f>
        <v>3187</v>
      </c>
      <c r="F176" s="6">
        <f>1693+1355+302+645</f>
        <v>3995</v>
      </c>
      <c r="G176" s="6">
        <f>1693+1355+302+645</f>
        <v>3995</v>
      </c>
      <c r="H176" s="6">
        <f t="shared" ref="H176" si="25">H54*42</f>
        <v>0</v>
      </c>
      <c r="I176" s="185">
        <f t="shared" si="24"/>
        <v>11737</v>
      </c>
      <c r="K176" s="40"/>
      <c r="L176" s="40"/>
      <c r="M176" s="40"/>
      <c r="N176" s="40"/>
    </row>
    <row r="177" spans="2:14" outlineLevel="2" x14ac:dyDescent="0.25">
      <c r="B177" s="52" t="s">
        <v>285</v>
      </c>
      <c r="C177" s="53" t="s">
        <v>26</v>
      </c>
      <c r="D177" s="6">
        <f>314+112+34+205</f>
        <v>665</v>
      </c>
      <c r="E177" s="6">
        <f>1120+728+202+1290</f>
        <v>3340</v>
      </c>
      <c r="F177" s="6">
        <f>2134+734+202+1290</f>
        <v>4360</v>
      </c>
      <c r="G177" s="6">
        <f>2303+734+202+1290</f>
        <v>4529</v>
      </c>
      <c r="H177" s="6">
        <f t="shared" ref="H177" si="26">H55*42</f>
        <v>168</v>
      </c>
      <c r="I177" s="185">
        <f t="shared" si="24"/>
        <v>13062</v>
      </c>
      <c r="K177" s="40"/>
      <c r="L177" s="40"/>
      <c r="M177" s="40"/>
      <c r="N177" s="40"/>
    </row>
    <row r="178" spans="2:14" outlineLevel="2" x14ac:dyDescent="0.25">
      <c r="B178" s="52" t="s">
        <v>286</v>
      </c>
      <c r="C178" s="53" t="s">
        <v>26</v>
      </c>
      <c r="D178" s="6">
        <f>224+75+34</f>
        <v>333</v>
      </c>
      <c r="E178" s="6">
        <f>2061+448+202+129</f>
        <v>2840</v>
      </c>
      <c r="F178" s="6">
        <f>3251+452+202+129</f>
        <v>4034</v>
      </c>
      <c r="G178" s="6">
        <f>3421+1185+302+258</f>
        <v>5166</v>
      </c>
      <c r="H178" s="6">
        <f t="shared" ref="H178" si="27">H56*42</f>
        <v>420</v>
      </c>
      <c r="I178" s="185">
        <f t="shared" si="24"/>
        <v>12793</v>
      </c>
      <c r="K178" s="40"/>
      <c r="L178" s="40"/>
      <c r="M178" s="40"/>
      <c r="N178" s="40"/>
    </row>
    <row r="179" spans="2:14" outlineLevel="2" x14ac:dyDescent="0.25">
      <c r="B179" s="52" t="s">
        <v>287</v>
      </c>
      <c r="C179" s="53" t="s">
        <v>26</v>
      </c>
      <c r="D179" s="6">
        <f t="shared" ref="D179:H179" si="28">D57*42</f>
        <v>0</v>
      </c>
      <c r="E179" s="6">
        <f>3955+398+205+131</f>
        <v>4689</v>
      </c>
      <c r="F179" s="6">
        <f>7526+916+409+262</f>
        <v>9113</v>
      </c>
      <c r="G179" s="6">
        <f>7526+1260+716+393</f>
        <v>9895</v>
      </c>
      <c r="H179" s="6">
        <f t="shared" si="28"/>
        <v>252</v>
      </c>
      <c r="I179" s="185">
        <f t="shared" si="24"/>
        <v>23949</v>
      </c>
      <c r="K179" s="40"/>
      <c r="L179" s="40"/>
      <c r="M179" s="40"/>
      <c r="N179" s="40"/>
    </row>
    <row r="180" spans="2:14" outlineLevel="2" x14ac:dyDescent="0.25">
      <c r="B180" s="52" t="s">
        <v>288</v>
      </c>
      <c r="C180" s="53" t="s">
        <v>26</v>
      </c>
      <c r="D180" s="6">
        <f>538</f>
        <v>538</v>
      </c>
      <c r="E180" s="6">
        <f>157</f>
        <v>157</v>
      </c>
      <c r="F180" s="6">
        <f>237+564+101</f>
        <v>902</v>
      </c>
      <c r="G180" s="6">
        <f>339+564+101</f>
        <v>1004</v>
      </c>
      <c r="H180" s="6">
        <f t="shared" ref="H180" si="29">H58*42</f>
        <v>84</v>
      </c>
      <c r="I180" s="185">
        <f t="shared" si="24"/>
        <v>2685</v>
      </c>
      <c r="K180" s="40"/>
      <c r="L180" s="40"/>
      <c r="M180" s="40"/>
      <c r="N180" s="40"/>
    </row>
    <row r="181" spans="2:14" outlineLevel="2" x14ac:dyDescent="0.25">
      <c r="B181" s="52" t="s">
        <v>289</v>
      </c>
      <c r="C181" s="53" t="s">
        <v>26</v>
      </c>
      <c r="D181" s="6">
        <v>1970</v>
      </c>
      <c r="E181" s="6">
        <f>10432+966+102+131</f>
        <v>11631</v>
      </c>
      <c r="F181" s="6">
        <f>16529+2291+205+262</f>
        <v>19287</v>
      </c>
      <c r="G181" s="6">
        <f>17216+2291+205+262</f>
        <v>19974</v>
      </c>
      <c r="H181" s="6">
        <f t="shared" ref="H181" si="30">H59*42</f>
        <v>420</v>
      </c>
      <c r="I181" s="185">
        <f t="shared" si="24"/>
        <v>53282</v>
      </c>
      <c r="K181" s="40"/>
      <c r="L181" s="40"/>
      <c r="M181" s="40"/>
      <c r="N181" s="40"/>
    </row>
    <row r="182" spans="2:14" outlineLevel="2" x14ac:dyDescent="0.25">
      <c r="B182" s="52" t="s">
        <v>290</v>
      </c>
      <c r="C182" s="53" t="s">
        <v>26</v>
      </c>
      <c r="D182" s="6">
        <v>851</v>
      </c>
      <c r="E182" s="6">
        <f>4189+1624+202+129</f>
        <v>6144</v>
      </c>
      <c r="F182" s="6">
        <f>6503+3500+403+129</f>
        <v>10535</v>
      </c>
      <c r="G182" s="6">
        <f>7180+3500+403+129</f>
        <v>11212</v>
      </c>
      <c r="H182" s="6">
        <f t="shared" ref="H182" si="31">H60*42</f>
        <v>420</v>
      </c>
      <c r="I182" s="185">
        <f t="shared" si="24"/>
        <v>29162</v>
      </c>
      <c r="K182" s="40"/>
      <c r="L182" s="40"/>
      <c r="M182" s="40"/>
      <c r="N182" s="40"/>
    </row>
    <row r="183" spans="2:14" outlineLevel="2" x14ac:dyDescent="0.25">
      <c r="B183" s="52" t="s">
        <v>291</v>
      </c>
      <c r="C183" s="53" t="s">
        <v>26</v>
      </c>
      <c r="D183" s="6">
        <f>1120+317</f>
        <v>1437</v>
      </c>
      <c r="E183" s="6">
        <f>3472+1736+101+258</f>
        <v>5567</v>
      </c>
      <c r="F183" s="6">
        <f>5317+1750+202+387</f>
        <v>7656</v>
      </c>
      <c r="G183" s="6">
        <f>5317+2032+202+387</f>
        <v>7938</v>
      </c>
      <c r="H183" s="6">
        <f t="shared" ref="H183" si="32">H61*42</f>
        <v>126</v>
      </c>
      <c r="I183" s="185">
        <f t="shared" si="24"/>
        <v>22724</v>
      </c>
      <c r="K183" s="40"/>
      <c r="L183" s="40"/>
      <c r="M183" s="40"/>
      <c r="N183" s="40"/>
    </row>
    <row r="184" spans="2:14" outlineLevel="2" x14ac:dyDescent="0.25">
      <c r="B184" s="305" t="s">
        <v>307</v>
      </c>
      <c r="C184" s="53" t="s">
        <v>26</v>
      </c>
      <c r="D184" s="6">
        <v>858</v>
      </c>
      <c r="E184" s="6">
        <v>1001</v>
      </c>
      <c r="F184" s="6">
        <v>1144</v>
      </c>
      <c r="G184" s="6">
        <v>572</v>
      </c>
      <c r="H184" s="6">
        <v>572</v>
      </c>
      <c r="I184" s="185">
        <f t="shared" si="24"/>
        <v>4147</v>
      </c>
      <c r="K184" s="40"/>
      <c r="L184" s="40"/>
      <c r="M184" s="40"/>
      <c r="N184" s="40"/>
    </row>
    <row r="185" spans="2:14" outlineLevel="2" x14ac:dyDescent="0.25">
      <c r="B185" s="305" t="s">
        <v>304</v>
      </c>
      <c r="C185" s="53" t="s">
        <v>26</v>
      </c>
      <c r="D185" s="6">
        <v>1430</v>
      </c>
      <c r="E185" s="6">
        <v>1001</v>
      </c>
      <c r="F185" s="6">
        <v>1144</v>
      </c>
      <c r="G185" s="6">
        <v>572</v>
      </c>
      <c r="H185" s="6">
        <v>572</v>
      </c>
      <c r="I185" s="185">
        <f t="shared" si="24"/>
        <v>4719</v>
      </c>
      <c r="K185" s="40"/>
      <c r="L185" s="40"/>
      <c r="M185" s="40"/>
      <c r="N185" s="40"/>
    </row>
    <row r="186" spans="2:14" outlineLevel="2" x14ac:dyDescent="0.25">
      <c r="B186" s="305" t="s">
        <v>305</v>
      </c>
      <c r="C186" s="53" t="s">
        <v>26</v>
      </c>
      <c r="D186" s="6">
        <v>1001</v>
      </c>
      <c r="E186" s="6">
        <v>1001</v>
      </c>
      <c r="F186" s="6">
        <v>1144</v>
      </c>
      <c r="G186" s="6">
        <v>572</v>
      </c>
      <c r="H186" s="6">
        <v>572</v>
      </c>
      <c r="I186" s="185">
        <f t="shared" si="24"/>
        <v>4290</v>
      </c>
      <c r="K186" s="40"/>
      <c r="L186" s="40"/>
      <c r="M186" s="40"/>
      <c r="N186" s="40"/>
    </row>
    <row r="187" spans="2:14" outlineLevel="2" x14ac:dyDescent="0.25">
      <c r="B187" s="305" t="s">
        <v>306</v>
      </c>
      <c r="C187" s="53" t="s">
        <v>26</v>
      </c>
      <c r="D187" s="6">
        <v>5720</v>
      </c>
      <c r="E187" s="6">
        <v>6435</v>
      </c>
      <c r="F187" s="6">
        <v>5148</v>
      </c>
      <c r="G187" s="6">
        <v>2860</v>
      </c>
      <c r="H187" s="6">
        <v>1430</v>
      </c>
      <c r="I187" s="185">
        <f t="shared" si="24"/>
        <v>21593</v>
      </c>
      <c r="K187" s="40"/>
      <c r="L187" s="40"/>
      <c r="M187" s="40"/>
      <c r="N187" s="40"/>
    </row>
    <row r="188" spans="2:14" outlineLevel="2" x14ac:dyDescent="0.25">
      <c r="B188" s="305" t="s">
        <v>308</v>
      </c>
      <c r="C188" s="53" t="s">
        <v>26</v>
      </c>
      <c r="D188" s="6">
        <v>4004</v>
      </c>
      <c r="E188" s="6">
        <v>7007</v>
      </c>
      <c r="F188" s="6">
        <v>7007</v>
      </c>
      <c r="G188" s="6">
        <v>5005</v>
      </c>
      <c r="H188" s="6">
        <v>1430</v>
      </c>
      <c r="I188" s="185">
        <f t="shared" si="24"/>
        <v>24453</v>
      </c>
      <c r="K188" s="40"/>
      <c r="L188" s="40"/>
      <c r="M188" s="40"/>
      <c r="N188" s="40"/>
    </row>
    <row r="189" spans="2:14" outlineLevel="2" x14ac:dyDescent="0.25">
      <c r="B189" s="52"/>
      <c r="C189" s="53"/>
      <c r="D189" s="6"/>
      <c r="E189" s="6"/>
      <c r="F189" s="6"/>
      <c r="G189" s="6"/>
      <c r="H189" s="6"/>
      <c r="I189" s="185">
        <f t="shared" si="24"/>
        <v>0</v>
      </c>
      <c r="K189" s="40"/>
      <c r="L189" s="40"/>
      <c r="M189" s="40"/>
      <c r="N189" s="40"/>
    </row>
    <row r="190" spans="2:14" ht="15" customHeight="1" outlineLevel="2" x14ac:dyDescent="0.25">
      <c r="B190" s="349" t="s">
        <v>90</v>
      </c>
      <c r="C190" s="350"/>
      <c r="D190" s="350"/>
      <c r="E190" s="350"/>
      <c r="F190" s="350"/>
      <c r="G190" s="350"/>
      <c r="H190" s="350"/>
      <c r="I190" s="351"/>
    </row>
    <row r="191" spans="2:14" outlineLevel="2" x14ac:dyDescent="0.25">
      <c r="B191" s="52" t="s">
        <v>84</v>
      </c>
      <c r="C191" s="56" t="s">
        <v>26</v>
      </c>
      <c r="D191" s="4">
        <f>SUM(D175:D189)</f>
        <v>19666</v>
      </c>
      <c r="E191" s="4">
        <f>SUM(E175:E189)</f>
        <v>55624</v>
      </c>
      <c r="F191" s="4">
        <f>SUM(F175:F189)</f>
        <v>77568</v>
      </c>
      <c r="G191" s="4">
        <f>SUM(G175:G189)</f>
        <v>75393</v>
      </c>
      <c r="H191" s="4">
        <f>SUM(H175:H189)</f>
        <v>6466</v>
      </c>
      <c r="I191" s="185">
        <f>D191+E191+F191+G191+H191</f>
        <v>234717</v>
      </c>
    </row>
    <row r="192" spans="2:14" outlineLevel="1" x14ac:dyDescent="0.25"/>
    <row r="193" spans="2:18" outlineLevel="1" x14ac:dyDescent="0.25">
      <c r="B193" s="75" t="s">
        <v>207</v>
      </c>
      <c r="C193" s="76"/>
      <c r="D193" s="76"/>
      <c r="E193" s="76"/>
      <c r="F193" s="76"/>
      <c r="G193" s="76"/>
      <c r="H193" s="76"/>
      <c r="I193" s="76"/>
      <c r="J193" s="57"/>
      <c r="K193" s="57"/>
      <c r="L193" s="57"/>
      <c r="M193" s="57"/>
      <c r="N193" s="57"/>
      <c r="O193" s="57"/>
      <c r="P193" s="57"/>
      <c r="Q193" s="57"/>
      <c r="R193" s="57"/>
    </row>
    <row r="194" spans="2:18" outlineLevel="2" x14ac:dyDescent="0.25">
      <c r="B194" s="58"/>
      <c r="C194" s="79" t="s">
        <v>20</v>
      </c>
      <c r="D194" s="77">
        <f>$C$3</f>
        <v>2023</v>
      </c>
      <c r="E194" s="77">
        <f>$C$3+1</f>
        <v>2024</v>
      </c>
      <c r="F194" s="77">
        <f>$C$3+2</f>
        <v>2025</v>
      </c>
      <c r="G194" s="77">
        <f>$C$3+3</f>
        <v>2026</v>
      </c>
      <c r="H194" s="77">
        <f>$C$3+4</f>
        <v>2027</v>
      </c>
      <c r="I194" s="51" t="str">
        <f>D194&amp; "-"&amp;H194</f>
        <v>2023-2027</v>
      </c>
    </row>
    <row r="195" spans="2:18" outlineLevel="2" x14ac:dyDescent="0.25">
      <c r="B195" s="52" t="s">
        <v>283</v>
      </c>
      <c r="C195" s="53" t="s">
        <v>26</v>
      </c>
      <c r="D195" s="6">
        <f>358+358</f>
        <v>716</v>
      </c>
      <c r="E195" s="6">
        <f>358+358</f>
        <v>716</v>
      </c>
      <c r="F195" s="6">
        <f>358+358</f>
        <v>716</v>
      </c>
      <c r="G195" s="6">
        <f>358+358</f>
        <v>716</v>
      </c>
      <c r="H195" s="6">
        <f t="shared" ref="H195" si="33">H73*57.8</f>
        <v>0</v>
      </c>
      <c r="I195" s="185">
        <f t="shared" ref="I195:I209" si="34">D195+E195+F195+G195+H195</f>
        <v>2864</v>
      </c>
    </row>
    <row r="196" spans="2:18" outlineLevel="2" x14ac:dyDescent="0.25">
      <c r="B196" s="52" t="s">
        <v>284</v>
      </c>
      <c r="C196" s="53" t="s">
        <v>26</v>
      </c>
      <c r="D196" s="6">
        <f>896+119</f>
        <v>1015</v>
      </c>
      <c r="E196" s="6">
        <f>2867+717+1308</f>
        <v>4892</v>
      </c>
      <c r="F196" s="6">
        <f>3226+1075+1308</f>
        <v>5609</v>
      </c>
      <c r="G196" s="6">
        <f>3226+1075+1308</f>
        <v>5609</v>
      </c>
      <c r="H196" s="6">
        <f t="shared" ref="H196" si="35">H74*57.8</f>
        <v>0</v>
      </c>
      <c r="I196" s="185">
        <f t="shared" si="34"/>
        <v>17125</v>
      </c>
    </row>
    <row r="197" spans="2:18" outlineLevel="2" x14ac:dyDescent="0.25">
      <c r="B197" s="52" t="s">
        <v>285</v>
      </c>
      <c r="C197" s="53" t="s">
        <v>26</v>
      </c>
      <c r="D197" s="6">
        <f>1015+60</f>
        <v>1075</v>
      </c>
      <c r="E197" s="6">
        <f>4301+358</f>
        <v>4659</v>
      </c>
      <c r="F197" s="6">
        <f>5555+358</f>
        <v>5913</v>
      </c>
      <c r="G197" s="6">
        <f>5555+358</f>
        <v>5913</v>
      </c>
      <c r="H197" s="6">
        <f t="shared" ref="H197" si="36">H75*57.8</f>
        <v>0</v>
      </c>
      <c r="I197" s="185">
        <f t="shared" si="34"/>
        <v>17560</v>
      </c>
    </row>
    <row r="198" spans="2:18" outlineLevel="2" x14ac:dyDescent="0.25">
      <c r="B198" s="52" t="s">
        <v>286</v>
      </c>
      <c r="C198" s="53" t="s">
        <v>26</v>
      </c>
      <c r="D198" s="6">
        <f>179+60</f>
        <v>239</v>
      </c>
      <c r="E198" s="6">
        <f>2867+717</f>
        <v>3584</v>
      </c>
      <c r="F198" s="6">
        <f>3046+1254</f>
        <v>4300</v>
      </c>
      <c r="G198" s="6">
        <f>3046+1613</f>
        <v>4659</v>
      </c>
      <c r="H198" s="6">
        <f t="shared" ref="H198" si="37">H76*57.8</f>
        <v>115.6</v>
      </c>
      <c r="I198" s="185">
        <f t="shared" ref="I198" si="38">D198+E198+F198+G198+H198</f>
        <v>12897.6</v>
      </c>
    </row>
    <row r="199" spans="2:18" outlineLevel="2" x14ac:dyDescent="0.25">
      <c r="B199" s="52" t="s">
        <v>287</v>
      </c>
      <c r="C199" s="53" t="s">
        <v>26</v>
      </c>
      <c r="D199" s="6">
        <f t="shared" ref="D199:H199" si="39">D77*57.8</f>
        <v>0</v>
      </c>
      <c r="E199" s="6">
        <f>7636+364+1327</f>
        <v>9327</v>
      </c>
      <c r="F199" s="6">
        <f>8000+364+1327</f>
        <v>9691</v>
      </c>
      <c r="G199" s="6">
        <f>8364+364+1327</f>
        <v>10055</v>
      </c>
      <c r="H199" s="6">
        <f t="shared" si="39"/>
        <v>115.6</v>
      </c>
      <c r="I199" s="185">
        <f t="shared" si="34"/>
        <v>29188.6</v>
      </c>
    </row>
    <row r="200" spans="2:18" outlineLevel="2" x14ac:dyDescent="0.25">
      <c r="B200" s="52" t="s">
        <v>288</v>
      </c>
      <c r="C200" s="53" t="s">
        <v>26</v>
      </c>
      <c r="D200" s="6">
        <v>836</v>
      </c>
      <c r="E200" s="6">
        <v>179</v>
      </c>
      <c r="F200" s="6">
        <v>179</v>
      </c>
      <c r="G200" s="6">
        <v>179</v>
      </c>
      <c r="H200" s="6">
        <f t="shared" ref="H200" si="40">H78*57.8</f>
        <v>0</v>
      </c>
      <c r="I200" s="185">
        <f t="shared" ref="I200" si="41">D200+E200+F200+G200+H200</f>
        <v>1373</v>
      </c>
    </row>
    <row r="201" spans="2:18" outlineLevel="2" x14ac:dyDescent="0.25">
      <c r="B201" s="52" t="s">
        <v>289</v>
      </c>
      <c r="C201" s="53" t="s">
        <v>26</v>
      </c>
      <c r="D201" s="6">
        <v>1273</v>
      </c>
      <c r="E201" s="6">
        <f>5455+364</f>
        <v>5819</v>
      </c>
      <c r="F201" s="6">
        <f>5455+727+1327</f>
        <v>7509</v>
      </c>
      <c r="G201" s="6">
        <f>5818+727+1327</f>
        <v>7872</v>
      </c>
      <c r="H201" s="6">
        <f t="shared" ref="H201" si="42">H79*57.8</f>
        <v>57.8</v>
      </c>
      <c r="I201" s="185">
        <f t="shared" si="34"/>
        <v>22530.799999999999</v>
      </c>
    </row>
    <row r="202" spans="2:18" outlineLevel="2" x14ac:dyDescent="0.25">
      <c r="B202" s="52" t="s">
        <v>290</v>
      </c>
      <c r="C202" s="53" t="s">
        <v>26</v>
      </c>
      <c r="D202" s="6">
        <v>3166</v>
      </c>
      <c r="E202" s="6">
        <f>10035+538+1308</f>
        <v>11881</v>
      </c>
      <c r="F202" s="6">
        <f>10035+1075+1308</f>
        <v>12418</v>
      </c>
      <c r="G202" s="6">
        <f>10394+1075+1308</f>
        <v>12777</v>
      </c>
      <c r="H202" s="6">
        <f t="shared" ref="H202" si="43">H80*57.8</f>
        <v>57.8</v>
      </c>
      <c r="I202" s="185">
        <f t="shared" ref="I202" si="44">D202+E202+F202+G202+H202</f>
        <v>40299.800000000003</v>
      </c>
    </row>
    <row r="203" spans="2:18" outlineLevel="2" x14ac:dyDescent="0.25">
      <c r="B203" s="52" t="s">
        <v>291</v>
      </c>
      <c r="C203" s="53" t="s">
        <v>26</v>
      </c>
      <c r="D203" s="6">
        <f t="shared" ref="D203:H203" si="45">D81*57.8</f>
        <v>0</v>
      </c>
      <c r="E203" s="6">
        <v>2150</v>
      </c>
      <c r="F203" s="6">
        <v>3046</v>
      </c>
      <c r="G203" s="6">
        <v>3046</v>
      </c>
      <c r="H203" s="6">
        <f t="shared" si="45"/>
        <v>0</v>
      </c>
      <c r="I203" s="185">
        <f t="shared" si="34"/>
        <v>8242</v>
      </c>
    </row>
    <row r="204" spans="2:18" outlineLevel="2" x14ac:dyDescent="0.25">
      <c r="B204" s="305" t="s">
        <v>307</v>
      </c>
      <c r="C204" s="53" t="s">
        <v>26</v>
      </c>
      <c r="D204" s="6">
        <f>685*D82</f>
        <v>2740</v>
      </c>
      <c r="E204" s="6">
        <f t="shared" ref="E204:H204" si="46">685*E82</f>
        <v>1370</v>
      </c>
      <c r="F204" s="6">
        <f t="shared" si="46"/>
        <v>2055</v>
      </c>
      <c r="G204" s="6">
        <f t="shared" si="46"/>
        <v>685</v>
      </c>
      <c r="H204" s="6">
        <f t="shared" si="46"/>
        <v>0</v>
      </c>
      <c r="I204" s="185">
        <f t="shared" si="34"/>
        <v>6850</v>
      </c>
    </row>
    <row r="205" spans="2:18" outlineLevel="2" x14ac:dyDescent="0.25">
      <c r="B205" s="305" t="s">
        <v>304</v>
      </c>
      <c r="C205" s="53" t="s">
        <v>26</v>
      </c>
      <c r="D205" s="6">
        <f t="shared" ref="D205:H205" si="47">685*D83</f>
        <v>4110</v>
      </c>
      <c r="E205" s="6">
        <f t="shared" si="47"/>
        <v>1370</v>
      </c>
      <c r="F205" s="6">
        <f t="shared" si="47"/>
        <v>1370</v>
      </c>
      <c r="G205" s="6">
        <f t="shared" si="47"/>
        <v>685</v>
      </c>
      <c r="H205" s="6">
        <f t="shared" si="47"/>
        <v>0</v>
      </c>
      <c r="I205" s="185">
        <f t="shared" si="34"/>
        <v>7535</v>
      </c>
    </row>
    <row r="206" spans="2:18" outlineLevel="2" x14ac:dyDescent="0.25">
      <c r="B206" s="305" t="s">
        <v>305</v>
      </c>
      <c r="C206" s="53" t="s">
        <v>26</v>
      </c>
      <c r="D206" s="6">
        <f t="shared" ref="D206:H206" si="48">685*D84</f>
        <v>3425</v>
      </c>
      <c r="E206" s="6">
        <f t="shared" si="48"/>
        <v>1370</v>
      </c>
      <c r="F206" s="6">
        <f t="shared" si="48"/>
        <v>1370</v>
      </c>
      <c r="G206" s="6">
        <f t="shared" si="48"/>
        <v>685</v>
      </c>
      <c r="H206" s="6">
        <f t="shared" si="48"/>
        <v>0</v>
      </c>
      <c r="I206" s="185">
        <f t="shared" si="34"/>
        <v>6850</v>
      </c>
    </row>
    <row r="207" spans="2:18" outlineLevel="2" x14ac:dyDescent="0.25">
      <c r="B207" s="305" t="s">
        <v>306</v>
      </c>
      <c r="C207" s="53" t="s">
        <v>26</v>
      </c>
      <c r="D207" s="6">
        <f t="shared" ref="D207:H207" si="49">685*D85</f>
        <v>4795</v>
      </c>
      <c r="E207" s="6">
        <f t="shared" si="49"/>
        <v>3425</v>
      </c>
      <c r="F207" s="6">
        <f t="shared" si="49"/>
        <v>2740</v>
      </c>
      <c r="G207" s="6">
        <f t="shared" si="49"/>
        <v>3425</v>
      </c>
      <c r="H207" s="6">
        <f t="shared" si="49"/>
        <v>6850</v>
      </c>
      <c r="I207" s="185">
        <f t="shared" si="34"/>
        <v>21235</v>
      </c>
    </row>
    <row r="208" spans="2:18" outlineLevel="2" x14ac:dyDescent="0.25">
      <c r="B208" s="305" t="s">
        <v>308</v>
      </c>
      <c r="C208" s="53" t="s">
        <v>26</v>
      </c>
      <c r="D208" s="6">
        <f t="shared" ref="D208:H208" si="50">685*D86</f>
        <v>6165</v>
      </c>
      <c r="E208" s="6">
        <f t="shared" si="50"/>
        <v>10275</v>
      </c>
      <c r="F208" s="6">
        <f t="shared" si="50"/>
        <v>8905</v>
      </c>
      <c r="G208" s="6">
        <f t="shared" si="50"/>
        <v>11645</v>
      </c>
      <c r="H208" s="6">
        <f t="shared" si="50"/>
        <v>6850</v>
      </c>
      <c r="I208" s="185">
        <f t="shared" si="34"/>
        <v>43840</v>
      </c>
    </row>
    <row r="209" spans="2:18" outlineLevel="2" x14ac:dyDescent="0.25">
      <c r="B209" s="52"/>
      <c r="C209" s="53"/>
      <c r="D209" s="6"/>
      <c r="E209" s="6"/>
      <c r="F209" s="6"/>
      <c r="G209" s="6"/>
      <c r="H209" s="6"/>
      <c r="I209" s="185">
        <f t="shared" si="34"/>
        <v>0</v>
      </c>
    </row>
    <row r="210" spans="2:18" ht="15" customHeight="1" outlineLevel="2" x14ac:dyDescent="0.25">
      <c r="B210" s="349" t="s">
        <v>90</v>
      </c>
      <c r="C210" s="350"/>
      <c r="D210" s="350"/>
      <c r="E210" s="350"/>
      <c r="F210" s="350"/>
      <c r="G210" s="350"/>
      <c r="H210" s="350"/>
      <c r="I210" s="351"/>
    </row>
    <row r="211" spans="2:18" outlineLevel="2" x14ac:dyDescent="0.25">
      <c r="B211" s="52" t="s">
        <v>84</v>
      </c>
      <c r="C211" s="56" t="s">
        <v>26</v>
      </c>
      <c r="D211" s="4">
        <f>SUM(D195:D209)</f>
        <v>29555</v>
      </c>
      <c r="E211" s="4">
        <f>SUM(E195:E209)</f>
        <v>61017</v>
      </c>
      <c r="F211" s="4">
        <f>SUM(F195:F209)</f>
        <v>65821</v>
      </c>
      <c r="G211" s="4">
        <f>SUM(G195:G209)</f>
        <v>67951</v>
      </c>
      <c r="H211" s="4">
        <f>SUM(H195:H209)</f>
        <v>14046.8</v>
      </c>
      <c r="I211" s="185">
        <f>D211+E211+F211+G211+H211</f>
        <v>238390.8</v>
      </c>
    </row>
    <row r="212" spans="2:18" outlineLevel="1" x14ac:dyDescent="0.25"/>
    <row r="213" spans="2:18" outlineLevel="1" x14ac:dyDescent="0.25">
      <c r="B213" s="75" t="s">
        <v>13</v>
      </c>
      <c r="C213" s="76"/>
      <c r="D213" s="76"/>
      <c r="E213" s="76"/>
      <c r="F213" s="76"/>
      <c r="G213" s="76"/>
      <c r="H213" s="76"/>
      <c r="I213" s="76"/>
      <c r="J213" s="57"/>
      <c r="K213" s="57"/>
      <c r="L213" s="57"/>
      <c r="M213" s="57"/>
      <c r="N213" s="57"/>
      <c r="O213" s="57"/>
      <c r="P213" s="57"/>
      <c r="Q213" s="57"/>
      <c r="R213" s="57"/>
    </row>
    <row r="214" spans="2:18" outlineLevel="2" x14ac:dyDescent="0.25">
      <c r="B214" s="58"/>
      <c r="C214" s="79" t="s">
        <v>20</v>
      </c>
      <c r="D214" s="77">
        <f>$C$3</f>
        <v>2023</v>
      </c>
      <c r="E214" s="77">
        <f>$C$3+1</f>
        <v>2024</v>
      </c>
      <c r="F214" s="77">
        <f>$C$3+2</f>
        <v>2025</v>
      </c>
      <c r="G214" s="77">
        <f>$C$3+3</f>
        <v>2026</v>
      </c>
      <c r="H214" s="77">
        <f>$C$3+4</f>
        <v>2027</v>
      </c>
      <c r="I214" s="51" t="str">
        <f>D214&amp; "-"&amp;H214</f>
        <v>2023-2027</v>
      </c>
    </row>
    <row r="215" spans="2:18" outlineLevel="2" x14ac:dyDescent="0.25">
      <c r="B215" s="52" t="s">
        <v>283</v>
      </c>
      <c r="C215" s="53" t="s">
        <v>26</v>
      </c>
      <c r="D215" s="6">
        <f>D93*20291</f>
        <v>0</v>
      </c>
      <c r="E215" s="6">
        <f t="shared" ref="E215:H215" si="51">E93*20291</f>
        <v>0</v>
      </c>
      <c r="F215" s="6">
        <f t="shared" si="51"/>
        <v>0</v>
      </c>
      <c r="G215" s="6">
        <f t="shared" si="51"/>
        <v>0</v>
      </c>
      <c r="H215" s="6">
        <f t="shared" si="51"/>
        <v>0</v>
      </c>
      <c r="I215" s="185">
        <f t="shared" ref="I215:I229" si="52">D215+E215+F215+G215+H215</f>
        <v>0</v>
      </c>
    </row>
    <row r="216" spans="2:18" outlineLevel="2" x14ac:dyDescent="0.25">
      <c r="B216" s="52" t="s">
        <v>284</v>
      </c>
      <c r="C216" s="53" t="s">
        <v>26</v>
      </c>
      <c r="D216" s="6">
        <f t="shared" ref="D216:H216" si="53">D94*20291</f>
        <v>0</v>
      </c>
      <c r="E216" s="6">
        <f t="shared" si="53"/>
        <v>0</v>
      </c>
      <c r="F216" s="6">
        <f t="shared" si="53"/>
        <v>0</v>
      </c>
      <c r="G216" s="6">
        <f t="shared" si="53"/>
        <v>0</v>
      </c>
      <c r="H216" s="6">
        <f t="shared" si="53"/>
        <v>0</v>
      </c>
      <c r="I216" s="185">
        <f t="shared" si="52"/>
        <v>0</v>
      </c>
    </row>
    <row r="217" spans="2:18" outlineLevel="2" x14ac:dyDescent="0.25">
      <c r="B217" s="52" t="s">
        <v>285</v>
      </c>
      <c r="C217" s="53" t="s">
        <v>26</v>
      </c>
      <c r="D217" s="6">
        <f t="shared" ref="D217:H217" si="54">D95*20291</f>
        <v>0</v>
      </c>
      <c r="E217" s="6">
        <f t="shared" si="54"/>
        <v>0</v>
      </c>
      <c r="F217" s="6">
        <f t="shared" si="54"/>
        <v>0</v>
      </c>
      <c r="G217" s="6">
        <f t="shared" si="54"/>
        <v>0</v>
      </c>
      <c r="H217" s="6">
        <f t="shared" si="54"/>
        <v>0</v>
      </c>
      <c r="I217" s="185">
        <f t="shared" si="52"/>
        <v>0</v>
      </c>
    </row>
    <row r="218" spans="2:18" outlineLevel="2" x14ac:dyDescent="0.25">
      <c r="B218" s="52" t="s">
        <v>286</v>
      </c>
      <c r="C218" s="53" t="s">
        <v>26</v>
      </c>
      <c r="D218" s="6">
        <f t="shared" ref="D218:H218" si="55">D96*20291</f>
        <v>0</v>
      </c>
      <c r="E218" s="6">
        <f>19712</f>
        <v>19712</v>
      </c>
      <c r="F218" s="6">
        <v>39424</v>
      </c>
      <c r="G218" s="6">
        <v>68992</v>
      </c>
      <c r="H218" s="6">
        <f t="shared" si="55"/>
        <v>20291</v>
      </c>
      <c r="I218" s="185">
        <f t="shared" ref="I218" si="56">D218+E218+F218+G218+H218</f>
        <v>148419</v>
      </c>
    </row>
    <row r="219" spans="2:18" outlineLevel="2" x14ac:dyDescent="0.25">
      <c r="B219" s="52" t="s">
        <v>287</v>
      </c>
      <c r="C219" s="53" t="s">
        <v>26</v>
      </c>
      <c r="D219" s="6">
        <f t="shared" ref="D219:H219" si="57">D97*20291</f>
        <v>0</v>
      </c>
      <c r="E219" s="6">
        <v>40000</v>
      </c>
      <c r="F219" s="6">
        <v>60000</v>
      </c>
      <c r="G219" s="6">
        <v>70000</v>
      </c>
      <c r="H219" s="6">
        <f t="shared" si="57"/>
        <v>20291</v>
      </c>
      <c r="I219" s="185">
        <f t="shared" si="52"/>
        <v>190291</v>
      </c>
    </row>
    <row r="220" spans="2:18" outlineLevel="2" x14ac:dyDescent="0.25">
      <c r="B220" s="52" t="s">
        <v>288</v>
      </c>
      <c r="C220" s="53" t="s">
        <v>26</v>
      </c>
      <c r="D220" s="6">
        <v>3285</v>
      </c>
      <c r="E220" s="6">
        <v>19712</v>
      </c>
      <c r="F220" s="6">
        <v>39424</v>
      </c>
      <c r="G220" s="6">
        <v>49280</v>
      </c>
      <c r="H220" s="6">
        <f t="shared" ref="H220" si="58">H98*20291</f>
        <v>0</v>
      </c>
      <c r="I220" s="185">
        <f t="shared" ref="I220" si="59">D220+E220+F220+G220+H220</f>
        <v>111701</v>
      </c>
    </row>
    <row r="221" spans="2:18" outlineLevel="2" x14ac:dyDescent="0.25">
      <c r="B221" s="52" t="s">
        <v>289</v>
      </c>
      <c r="C221" s="53" t="s">
        <v>26</v>
      </c>
      <c r="D221" s="6">
        <v>3333</v>
      </c>
      <c r="E221" s="6">
        <v>30000</v>
      </c>
      <c r="F221" s="6">
        <v>50000</v>
      </c>
      <c r="G221" s="6">
        <v>60000</v>
      </c>
      <c r="H221" s="6">
        <f t="shared" ref="H221" si="60">H99*20291</f>
        <v>20291</v>
      </c>
      <c r="I221" s="185">
        <f t="shared" si="52"/>
        <v>163624</v>
      </c>
    </row>
    <row r="222" spans="2:18" outlineLevel="2" x14ac:dyDescent="0.25">
      <c r="B222" s="52" t="s">
        <v>290</v>
      </c>
      <c r="C222" s="53" t="s">
        <v>26</v>
      </c>
      <c r="D222" s="6">
        <f t="shared" ref="D222:H222" si="61">D100*20291</f>
        <v>0</v>
      </c>
      <c r="E222" s="6">
        <v>29568</v>
      </c>
      <c r="F222" s="6">
        <v>59136</v>
      </c>
      <c r="G222" s="6">
        <v>88704</v>
      </c>
      <c r="H222" s="6">
        <f t="shared" si="61"/>
        <v>20291</v>
      </c>
      <c r="I222" s="185">
        <f t="shared" ref="I222" si="62">D222+E222+F222+G222+H222</f>
        <v>197699</v>
      </c>
    </row>
    <row r="223" spans="2:18" outlineLevel="2" x14ac:dyDescent="0.25">
      <c r="B223" s="52" t="s">
        <v>291</v>
      </c>
      <c r="C223" s="53" t="s">
        <v>26</v>
      </c>
      <c r="D223" s="6">
        <f t="shared" ref="D223:H223" si="63">D101*20291</f>
        <v>0</v>
      </c>
      <c r="E223" s="6">
        <f t="shared" si="63"/>
        <v>0</v>
      </c>
      <c r="F223" s="6">
        <v>9856</v>
      </c>
      <c r="G223" s="6">
        <v>9856</v>
      </c>
      <c r="H223" s="6">
        <f t="shared" si="63"/>
        <v>0</v>
      </c>
      <c r="I223" s="185">
        <f t="shared" si="52"/>
        <v>19712</v>
      </c>
    </row>
    <row r="224" spans="2:18" outlineLevel="2" x14ac:dyDescent="0.25">
      <c r="B224" s="305" t="s">
        <v>307</v>
      </c>
      <c r="C224" s="53" t="s">
        <v>26</v>
      </c>
      <c r="D224" s="6"/>
      <c r="E224" s="6"/>
      <c r="F224" s="6"/>
      <c r="G224" s="6"/>
      <c r="H224" s="6"/>
      <c r="I224" s="185">
        <f t="shared" si="52"/>
        <v>0</v>
      </c>
    </row>
    <row r="225" spans="2:18" outlineLevel="2" x14ac:dyDescent="0.25">
      <c r="B225" s="305" t="s">
        <v>304</v>
      </c>
      <c r="C225" s="53" t="s">
        <v>26</v>
      </c>
      <c r="D225" s="6"/>
      <c r="E225" s="6"/>
      <c r="F225" s="6"/>
      <c r="G225" s="6"/>
      <c r="H225" s="6"/>
      <c r="I225" s="185">
        <f t="shared" si="52"/>
        <v>0</v>
      </c>
    </row>
    <row r="226" spans="2:18" outlineLevel="2" x14ac:dyDescent="0.25">
      <c r="B226" s="305" t="s">
        <v>305</v>
      </c>
      <c r="C226" s="53" t="s">
        <v>26</v>
      </c>
      <c r="D226" s="6"/>
      <c r="E226" s="6"/>
      <c r="F226" s="6"/>
      <c r="G226" s="6"/>
      <c r="H226" s="6"/>
      <c r="I226" s="185">
        <f t="shared" si="52"/>
        <v>0</v>
      </c>
    </row>
    <row r="227" spans="2:18" outlineLevel="2" x14ac:dyDescent="0.25">
      <c r="B227" s="305" t="s">
        <v>306</v>
      </c>
      <c r="C227" s="53" t="s">
        <v>26</v>
      </c>
      <c r="D227" s="6"/>
      <c r="E227" s="6"/>
      <c r="F227" s="6"/>
      <c r="G227" s="6"/>
      <c r="H227" s="6"/>
      <c r="I227" s="185">
        <f t="shared" si="52"/>
        <v>0</v>
      </c>
    </row>
    <row r="228" spans="2:18" outlineLevel="2" x14ac:dyDescent="0.25">
      <c r="B228" s="305" t="s">
        <v>308</v>
      </c>
      <c r="C228" s="53" t="s">
        <v>26</v>
      </c>
      <c r="D228" s="6"/>
      <c r="E228" s="6"/>
      <c r="F228" s="6"/>
      <c r="G228" s="6"/>
      <c r="H228" s="6"/>
      <c r="I228" s="185">
        <f t="shared" si="52"/>
        <v>0</v>
      </c>
    </row>
    <row r="229" spans="2:18" outlineLevel="2" x14ac:dyDescent="0.25">
      <c r="B229" s="52"/>
      <c r="C229" s="53"/>
      <c r="D229" s="6"/>
      <c r="E229" s="6"/>
      <c r="F229" s="6"/>
      <c r="G229" s="6"/>
      <c r="H229" s="6"/>
      <c r="I229" s="185">
        <f t="shared" si="52"/>
        <v>0</v>
      </c>
    </row>
    <row r="230" spans="2:18" ht="15" customHeight="1" outlineLevel="2" x14ac:dyDescent="0.25">
      <c r="B230" s="349" t="s">
        <v>90</v>
      </c>
      <c r="C230" s="350"/>
      <c r="D230" s="350"/>
      <c r="E230" s="350"/>
      <c r="F230" s="350"/>
      <c r="G230" s="350"/>
      <c r="H230" s="350"/>
      <c r="I230" s="351"/>
    </row>
    <row r="231" spans="2:18" outlineLevel="2" x14ac:dyDescent="0.25">
      <c r="B231" s="52" t="s">
        <v>84</v>
      </c>
      <c r="C231" s="56" t="s">
        <v>26</v>
      </c>
      <c r="D231" s="4">
        <f>SUM(D215:D229)</f>
        <v>6618</v>
      </c>
      <c r="E231" s="4">
        <f>SUM(E215:E229)</f>
        <v>138992</v>
      </c>
      <c r="F231" s="4">
        <f>SUM(F215:F229)</f>
        <v>257840</v>
      </c>
      <c r="G231" s="4">
        <f>SUM(G215:G229)</f>
        <v>346832</v>
      </c>
      <c r="H231" s="4">
        <f>SUM(H215:H229)</f>
        <v>81164</v>
      </c>
      <c r="I231" s="185">
        <f>D231+E231+F231+G231+H231</f>
        <v>831446</v>
      </c>
    </row>
    <row r="232" spans="2:18" outlineLevel="1" x14ac:dyDescent="0.25"/>
    <row r="233" spans="2:18" outlineLevel="1" x14ac:dyDescent="0.25">
      <c r="B233" s="75" t="s">
        <v>12</v>
      </c>
      <c r="C233" s="76"/>
      <c r="D233" s="76"/>
      <c r="E233" s="76"/>
      <c r="F233" s="76"/>
      <c r="G233" s="76"/>
      <c r="H233" s="76"/>
      <c r="I233" s="76"/>
      <c r="J233" s="57"/>
      <c r="K233" s="57"/>
      <c r="L233" s="57"/>
      <c r="M233" s="57"/>
      <c r="N233" s="57"/>
      <c r="O233" s="57"/>
      <c r="P233" s="57"/>
      <c r="Q233" s="57"/>
      <c r="R233" s="57"/>
    </row>
    <row r="234" spans="2:18" outlineLevel="2" x14ac:dyDescent="0.25">
      <c r="B234" s="58"/>
      <c r="C234" s="79" t="s">
        <v>20</v>
      </c>
      <c r="D234" s="77">
        <f>$C$3</f>
        <v>2023</v>
      </c>
      <c r="E234" s="77">
        <f>$C$3+1</f>
        <v>2024</v>
      </c>
      <c r="F234" s="77">
        <f>$C$3+2</f>
        <v>2025</v>
      </c>
      <c r="G234" s="77">
        <f>$C$3+3</f>
        <v>2026</v>
      </c>
      <c r="H234" s="77">
        <f>$C$3+4</f>
        <v>2027</v>
      </c>
      <c r="I234" s="51" t="str">
        <f>D234&amp; "-"&amp;H234</f>
        <v>2023-2027</v>
      </c>
    </row>
    <row r="235" spans="2:18" outlineLevel="2" x14ac:dyDescent="0.25">
      <c r="B235" s="52" t="s">
        <v>283</v>
      </c>
      <c r="C235" s="53" t="s">
        <v>26</v>
      </c>
      <c r="D235" s="6">
        <f>D113*1136</f>
        <v>0</v>
      </c>
      <c r="E235" s="6">
        <f t="shared" ref="E235:H235" si="64">E113*1136</f>
        <v>0</v>
      </c>
      <c r="F235" s="6">
        <f t="shared" si="64"/>
        <v>0</v>
      </c>
      <c r="G235" s="6">
        <f t="shared" si="64"/>
        <v>0</v>
      </c>
      <c r="H235" s="6">
        <f t="shared" si="64"/>
        <v>0</v>
      </c>
      <c r="I235" s="185">
        <f t="shared" ref="I235:I249" si="65">D235+E235+F235+G235+H235</f>
        <v>0</v>
      </c>
    </row>
    <row r="236" spans="2:18" outlineLevel="2" x14ac:dyDescent="0.25">
      <c r="B236" s="52" t="s">
        <v>284</v>
      </c>
      <c r="C236" s="53" t="s">
        <v>26</v>
      </c>
      <c r="D236" s="6">
        <f t="shared" ref="D236:H236" si="66">D114*1136</f>
        <v>0</v>
      </c>
      <c r="E236" s="6">
        <f t="shared" si="66"/>
        <v>0</v>
      </c>
      <c r="F236" s="6">
        <f t="shared" si="66"/>
        <v>0</v>
      </c>
      <c r="G236" s="6">
        <f t="shared" si="66"/>
        <v>0</v>
      </c>
      <c r="H236" s="6">
        <f t="shared" si="66"/>
        <v>0</v>
      </c>
      <c r="I236" s="185">
        <f t="shared" si="65"/>
        <v>0</v>
      </c>
    </row>
    <row r="237" spans="2:18" outlineLevel="2" x14ac:dyDescent="0.25">
      <c r="B237" s="52" t="s">
        <v>285</v>
      </c>
      <c r="C237" s="53" t="s">
        <v>26</v>
      </c>
      <c r="D237" s="6">
        <f t="shared" ref="D237:H237" si="67">D115*1136</f>
        <v>0</v>
      </c>
      <c r="E237" s="6">
        <f t="shared" si="67"/>
        <v>0</v>
      </c>
      <c r="F237" s="6">
        <f t="shared" si="67"/>
        <v>0</v>
      </c>
      <c r="G237" s="6">
        <f t="shared" si="67"/>
        <v>0</v>
      </c>
      <c r="H237" s="6">
        <f t="shared" si="67"/>
        <v>0</v>
      </c>
      <c r="I237" s="185">
        <f t="shared" si="65"/>
        <v>0</v>
      </c>
    </row>
    <row r="238" spans="2:18" outlineLevel="2" x14ac:dyDescent="0.25">
      <c r="B238" s="52" t="s">
        <v>286</v>
      </c>
      <c r="C238" s="53" t="s">
        <v>26</v>
      </c>
      <c r="D238" s="6">
        <f>D116*1368</f>
        <v>0</v>
      </c>
      <c r="E238" s="6">
        <v>1120</v>
      </c>
      <c r="F238" s="6">
        <v>1568</v>
      </c>
      <c r="G238" s="6">
        <v>2240</v>
      </c>
      <c r="H238" s="6">
        <f t="shared" ref="H238" si="68">H116*1368</f>
        <v>1368</v>
      </c>
      <c r="I238" s="185">
        <f t="shared" ref="I238" si="69">D238+E238+F238+G238+H238</f>
        <v>6296</v>
      </c>
    </row>
    <row r="239" spans="2:18" outlineLevel="2" x14ac:dyDescent="0.25">
      <c r="B239" s="52" t="s">
        <v>287</v>
      </c>
      <c r="C239" s="53" t="s">
        <v>26</v>
      </c>
      <c r="D239" s="6">
        <f t="shared" ref="D239:H239" si="70">D117*1368</f>
        <v>0</v>
      </c>
      <c r="E239" s="6">
        <v>1136</v>
      </c>
      <c r="F239" s="6">
        <v>1591</v>
      </c>
      <c r="G239" s="6">
        <v>2273</v>
      </c>
      <c r="H239" s="6">
        <f t="shared" si="70"/>
        <v>0</v>
      </c>
      <c r="I239" s="185">
        <f t="shared" si="65"/>
        <v>5000</v>
      </c>
    </row>
    <row r="240" spans="2:18" outlineLevel="2" x14ac:dyDescent="0.25">
      <c r="B240" s="52" t="s">
        <v>288</v>
      </c>
      <c r="C240" s="53" t="s">
        <v>26</v>
      </c>
      <c r="D240" s="6">
        <v>187</v>
      </c>
      <c r="E240" s="6">
        <f t="shared" ref="E240:H240" si="71">E118*1368</f>
        <v>0</v>
      </c>
      <c r="F240" s="6">
        <f t="shared" si="71"/>
        <v>0</v>
      </c>
      <c r="G240" s="6">
        <f t="shared" si="71"/>
        <v>0</v>
      </c>
      <c r="H240" s="6">
        <f t="shared" si="71"/>
        <v>0</v>
      </c>
      <c r="I240" s="185">
        <f t="shared" ref="I240" si="72">D240+E240+F240+G240+H240</f>
        <v>187</v>
      </c>
    </row>
    <row r="241" spans="2:12" outlineLevel="2" x14ac:dyDescent="0.25">
      <c r="B241" s="52" t="s">
        <v>289</v>
      </c>
      <c r="C241" s="53" t="s">
        <v>26</v>
      </c>
      <c r="D241" s="6">
        <v>189</v>
      </c>
      <c r="E241" s="6">
        <v>1136</v>
      </c>
      <c r="F241" s="6">
        <v>1591</v>
      </c>
      <c r="G241" s="6">
        <v>2273</v>
      </c>
      <c r="H241" s="6">
        <f t="shared" ref="H241" si="73">H119*1368</f>
        <v>0</v>
      </c>
      <c r="I241" s="185">
        <f t="shared" si="65"/>
        <v>5189</v>
      </c>
    </row>
    <row r="242" spans="2:12" outlineLevel="2" x14ac:dyDescent="0.25">
      <c r="B242" s="52" t="s">
        <v>290</v>
      </c>
      <c r="C242" s="53" t="s">
        <v>26</v>
      </c>
      <c r="D242" s="6">
        <v>187</v>
      </c>
      <c r="E242" s="6">
        <v>1120</v>
      </c>
      <c r="F242" s="6">
        <v>1568</v>
      </c>
      <c r="G242" s="6">
        <v>2240</v>
      </c>
      <c r="H242" s="6">
        <f t="shared" ref="H242" si="74">H120*1368</f>
        <v>0</v>
      </c>
      <c r="I242" s="185">
        <f t="shared" ref="I242" si="75">D242+E242+F242+G242+H242</f>
        <v>5115</v>
      </c>
    </row>
    <row r="243" spans="2:12" outlineLevel="2" x14ac:dyDescent="0.25">
      <c r="B243" s="52" t="s">
        <v>291</v>
      </c>
      <c r="C243" s="53" t="s">
        <v>26</v>
      </c>
      <c r="D243" s="6">
        <v>187</v>
      </c>
      <c r="E243" s="6">
        <v>1120</v>
      </c>
      <c r="F243" s="6">
        <v>1568</v>
      </c>
      <c r="G243" s="6">
        <v>2240</v>
      </c>
      <c r="H243" s="6">
        <f t="shared" ref="H243" si="76">H121*1368</f>
        <v>0</v>
      </c>
      <c r="I243" s="185">
        <f t="shared" si="65"/>
        <v>5115</v>
      </c>
    </row>
    <row r="244" spans="2:12" outlineLevel="2" x14ac:dyDescent="0.25">
      <c r="B244" s="305" t="s">
        <v>307</v>
      </c>
      <c r="C244" s="53" t="s">
        <v>26</v>
      </c>
      <c r="D244" s="6"/>
      <c r="E244" s="6"/>
      <c r="F244" s="6"/>
      <c r="G244" s="6"/>
      <c r="H244" s="6"/>
      <c r="I244" s="185">
        <f t="shared" si="65"/>
        <v>0</v>
      </c>
    </row>
    <row r="245" spans="2:12" outlineLevel="2" x14ac:dyDescent="0.25">
      <c r="B245" s="305" t="s">
        <v>304</v>
      </c>
      <c r="C245" s="53" t="s">
        <v>26</v>
      </c>
      <c r="D245" s="6"/>
      <c r="E245" s="6"/>
      <c r="F245" s="6"/>
      <c r="G245" s="6"/>
      <c r="H245" s="6"/>
      <c r="I245" s="185">
        <f t="shared" si="65"/>
        <v>0</v>
      </c>
    </row>
    <row r="246" spans="2:12" outlineLevel="2" x14ac:dyDescent="0.25">
      <c r="B246" s="305" t="s">
        <v>305</v>
      </c>
      <c r="C246" s="53" t="s">
        <v>26</v>
      </c>
      <c r="D246" s="6"/>
      <c r="E246" s="6"/>
      <c r="F246" s="6"/>
      <c r="G246" s="6"/>
      <c r="H246" s="6"/>
      <c r="I246" s="185">
        <f t="shared" si="65"/>
        <v>0</v>
      </c>
    </row>
    <row r="247" spans="2:12" outlineLevel="2" x14ac:dyDescent="0.25">
      <c r="B247" s="305" t="s">
        <v>306</v>
      </c>
      <c r="C247" s="53" t="s">
        <v>26</v>
      </c>
      <c r="D247" s="6"/>
      <c r="E247" s="6"/>
      <c r="F247" s="6"/>
      <c r="G247" s="6"/>
      <c r="H247" s="6"/>
      <c r="I247" s="185">
        <f t="shared" si="65"/>
        <v>0</v>
      </c>
    </row>
    <row r="248" spans="2:12" outlineLevel="2" x14ac:dyDescent="0.25">
      <c r="B248" s="305" t="s">
        <v>308</v>
      </c>
      <c r="C248" s="53" t="s">
        <v>26</v>
      </c>
      <c r="D248" s="6"/>
      <c r="E248" s="6"/>
      <c r="F248" s="6"/>
      <c r="G248" s="6"/>
      <c r="H248" s="6"/>
      <c r="I248" s="185">
        <f t="shared" si="65"/>
        <v>0</v>
      </c>
    </row>
    <row r="249" spans="2:12" outlineLevel="2" x14ac:dyDescent="0.25">
      <c r="B249" s="52"/>
      <c r="C249" s="53"/>
      <c r="D249" s="6"/>
      <c r="E249" s="6"/>
      <c r="F249" s="6"/>
      <c r="G249" s="6"/>
      <c r="H249" s="6"/>
      <c r="I249" s="185">
        <f t="shared" si="65"/>
        <v>0</v>
      </c>
    </row>
    <row r="250" spans="2:12" ht="15" customHeight="1" outlineLevel="2" x14ac:dyDescent="0.25">
      <c r="B250" s="349" t="s">
        <v>90</v>
      </c>
      <c r="C250" s="350"/>
      <c r="D250" s="350"/>
      <c r="E250" s="350"/>
      <c r="F250" s="350"/>
      <c r="G250" s="350"/>
      <c r="H250" s="350"/>
      <c r="I250" s="351"/>
      <c r="K250" s="336"/>
      <c r="L250" s="335"/>
    </row>
    <row r="251" spans="2:12" outlineLevel="2" x14ac:dyDescent="0.25">
      <c r="B251" s="52" t="s">
        <v>84</v>
      </c>
      <c r="C251" s="56" t="s">
        <v>26</v>
      </c>
      <c r="D251" s="4">
        <f>SUM(D235:D249)</f>
        <v>750</v>
      </c>
      <c r="E251" s="4">
        <f>SUM(E235:E249)</f>
        <v>5632</v>
      </c>
      <c r="F251" s="4">
        <f>SUM(F235:F249)</f>
        <v>7886</v>
      </c>
      <c r="G251" s="4">
        <f>SUM(G235:G249)</f>
        <v>11266</v>
      </c>
      <c r="H251" s="4">
        <f>SUM(H235:H249)</f>
        <v>1368</v>
      </c>
      <c r="I251" s="185">
        <f>D251+E251+F251+G251+H251</f>
        <v>26902</v>
      </c>
      <c r="L251" s="335"/>
    </row>
    <row r="252" spans="2:12" outlineLevel="1" x14ac:dyDescent="0.25"/>
    <row r="253" spans="2:12" ht="15.75" x14ac:dyDescent="0.25">
      <c r="B253" s="352" t="s">
        <v>202</v>
      </c>
      <c r="C253" s="352"/>
      <c r="D253" s="352"/>
      <c r="E253" s="352"/>
      <c r="F253" s="352"/>
      <c r="G253" s="352"/>
      <c r="H253" s="352"/>
      <c r="I253" s="352"/>
      <c r="J253" s="352"/>
      <c r="K253" s="352"/>
      <c r="L253" s="352"/>
    </row>
    <row r="254" spans="2:12" ht="6.6" customHeight="1" x14ac:dyDescent="0.25"/>
    <row r="255" spans="2:12" outlineLevel="1" x14ac:dyDescent="0.25">
      <c r="B255" s="365" t="s">
        <v>137</v>
      </c>
      <c r="C255" s="366"/>
      <c r="D255" s="366"/>
      <c r="E255" s="366"/>
      <c r="F255" s="366"/>
      <c r="G255" s="366"/>
      <c r="H255" s="366"/>
      <c r="I255" s="366"/>
      <c r="J255" s="366"/>
      <c r="K255" s="366"/>
      <c r="L255" s="366"/>
    </row>
    <row r="256" spans="2:12" ht="14.45" customHeight="1" outlineLevel="2" x14ac:dyDescent="0.25">
      <c r="B256" s="58"/>
      <c r="C256" s="79" t="s">
        <v>20</v>
      </c>
      <c r="D256" s="362" t="s">
        <v>138</v>
      </c>
      <c r="E256" s="363"/>
      <c r="F256" s="363"/>
      <c r="G256" s="363"/>
      <c r="H256" s="363"/>
      <c r="I256" s="363"/>
      <c r="J256" s="364"/>
      <c r="K256" s="356" t="s">
        <v>303</v>
      </c>
      <c r="L256" s="356" t="s">
        <v>139</v>
      </c>
    </row>
    <row r="257" spans="2:15" ht="45" outlineLevel="2" x14ac:dyDescent="0.25">
      <c r="B257" s="58"/>
      <c r="C257" s="79"/>
      <c r="D257" s="28" t="s">
        <v>222</v>
      </c>
      <c r="E257" s="28" t="s">
        <v>223</v>
      </c>
      <c r="F257" s="28" t="s">
        <v>224</v>
      </c>
      <c r="G257" s="28" t="s">
        <v>225</v>
      </c>
      <c r="H257" s="28" t="s">
        <v>226</v>
      </c>
      <c r="I257" s="28" t="s">
        <v>227</v>
      </c>
      <c r="J257" s="28" t="s">
        <v>17</v>
      </c>
      <c r="K257" s="357"/>
      <c r="L257" s="357"/>
    </row>
    <row r="258" spans="2:15" outlineLevel="2" x14ac:dyDescent="0.25">
      <c r="B258" s="52" t="s">
        <v>283</v>
      </c>
      <c r="C258" s="53" t="s">
        <v>276</v>
      </c>
      <c r="D258" s="6">
        <f>22.5*30</f>
        <v>675</v>
      </c>
      <c r="E258" s="6">
        <f>22.5*3</f>
        <v>67.5</v>
      </c>
      <c r="F258" s="6">
        <f>22.5*'Επίπτωση στη μέση χρέωση'!D23</f>
        <v>167.625</v>
      </c>
      <c r="G258" s="6">
        <v>335</v>
      </c>
      <c r="H258" s="6">
        <v>200</v>
      </c>
      <c r="I258" s="6">
        <f t="shared" ref="I258:I272" si="77">(D258+E258+F258)*0.06+(G258+H258)*0.24</f>
        <v>183.00749999999999</v>
      </c>
      <c r="J258" s="185">
        <f>SUM(D258:I258)</f>
        <v>1628.1324999999999</v>
      </c>
      <c r="K258" s="272">
        <f>1.24*1800</f>
        <v>2232</v>
      </c>
      <c r="L258" s="6"/>
      <c r="N258" s="40"/>
      <c r="O258" s="40"/>
    </row>
    <row r="259" spans="2:15" outlineLevel="2" x14ac:dyDescent="0.25">
      <c r="B259" s="52" t="s">
        <v>284</v>
      </c>
      <c r="C259" s="53" t="s">
        <v>276</v>
      </c>
      <c r="D259" s="6">
        <v>675</v>
      </c>
      <c r="E259" s="6">
        <v>67.5</v>
      </c>
      <c r="F259" s="6">
        <v>158.17500000000001</v>
      </c>
      <c r="G259" s="6">
        <v>0</v>
      </c>
      <c r="H259" s="6">
        <v>200</v>
      </c>
      <c r="I259" s="6">
        <f>(D259+E259+F259)*0.06+(G259+H259)*0.24</f>
        <v>102.04049999999999</v>
      </c>
      <c r="J259" s="185">
        <f t="shared" ref="J259:J272" si="78">SUM(D259:I259)</f>
        <v>1202.7155</v>
      </c>
      <c r="K259" s="272">
        <f t="shared" ref="K259:K271" si="79">1.24*1800</f>
        <v>2232</v>
      </c>
      <c r="L259" s="6"/>
    </row>
    <row r="260" spans="2:15" outlineLevel="2" x14ac:dyDescent="0.25">
      <c r="B260" s="52" t="s">
        <v>285</v>
      </c>
      <c r="C260" s="53" t="s">
        <v>276</v>
      </c>
      <c r="D260" s="6">
        <v>675</v>
      </c>
      <c r="E260" s="6">
        <v>67.5</v>
      </c>
      <c r="F260" s="6">
        <v>158.17500000000001</v>
      </c>
      <c r="G260" s="6">
        <v>0</v>
      </c>
      <c r="H260" s="6">
        <v>200</v>
      </c>
      <c r="I260" s="6">
        <f t="shared" si="77"/>
        <v>102.04049999999999</v>
      </c>
      <c r="J260" s="185">
        <f t="shared" si="78"/>
        <v>1202.7155</v>
      </c>
      <c r="K260" s="272">
        <f t="shared" si="79"/>
        <v>2232</v>
      </c>
      <c r="L260" s="6"/>
    </row>
    <row r="261" spans="2:15" outlineLevel="2" x14ac:dyDescent="0.25">
      <c r="B261" s="52" t="s">
        <v>286</v>
      </c>
      <c r="C261" s="53" t="s">
        <v>276</v>
      </c>
      <c r="D261" s="6">
        <v>675</v>
      </c>
      <c r="E261" s="6">
        <v>67.5</v>
      </c>
      <c r="F261" s="6">
        <v>158.17500000000001</v>
      </c>
      <c r="G261" s="272">
        <v>0</v>
      </c>
      <c r="H261" s="6">
        <v>200</v>
      </c>
      <c r="I261" s="6">
        <f t="shared" si="77"/>
        <v>102.04049999999999</v>
      </c>
      <c r="J261" s="185">
        <f t="shared" si="78"/>
        <v>1202.7155</v>
      </c>
      <c r="K261" s="272">
        <f t="shared" si="79"/>
        <v>2232</v>
      </c>
      <c r="L261" s="272"/>
    </row>
    <row r="262" spans="2:15" outlineLevel="2" x14ac:dyDescent="0.25">
      <c r="B262" s="52" t="s">
        <v>287</v>
      </c>
      <c r="C262" s="53" t="s">
        <v>276</v>
      </c>
      <c r="D262" s="6">
        <v>675</v>
      </c>
      <c r="E262" s="6">
        <v>67.5</v>
      </c>
      <c r="F262" s="6">
        <v>158.17500000000001</v>
      </c>
      <c r="G262" s="272">
        <v>0</v>
      </c>
      <c r="H262" s="6">
        <v>200</v>
      </c>
      <c r="I262" s="6">
        <f t="shared" si="77"/>
        <v>102.04049999999999</v>
      </c>
      <c r="J262" s="185">
        <f t="shared" si="78"/>
        <v>1202.7155</v>
      </c>
      <c r="K262" s="272">
        <f t="shared" si="79"/>
        <v>2232</v>
      </c>
      <c r="L262" s="272"/>
    </row>
    <row r="263" spans="2:15" outlineLevel="2" x14ac:dyDescent="0.25">
      <c r="B263" s="52" t="s">
        <v>288</v>
      </c>
      <c r="C263" s="53" t="s">
        <v>276</v>
      </c>
      <c r="D263" s="6">
        <v>675</v>
      </c>
      <c r="E263" s="6">
        <v>67.5</v>
      </c>
      <c r="F263" s="6">
        <v>158.17500000000001</v>
      </c>
      <c r="G263" s="272">
        <v>0</v>
      </c>
      <c r="H263" s="6">
        <v>200</v>
      </c>
      <c r="I263" s="6">
        <f t="shared" si="77"/>
        <v>102.04049999999999</v>
      </c>
      <c r="J263" s="185">
        <f t="shared" si="78"/>
        <v>1202.7155</v>
      </c>
      <c r="K263" s="272">
        <f t="shared" si="79"/>
        <v>2232</v>
      </c>
      <c r="L263" s="272"/>
    </row>
    <row r="264" spans="2:15" outlineLevel="2" x14ac:dyDescent="0.25">
      <c r="B264" s="52" t="s">
        <v>289</v>
      </c>
      <c r="C264" s="53" t="s">
        <v>276</v>
      </c>
      <c r="D264" s="6">
        <v>675</v>
      </c>
      <c r="E264" s="6">
        <v>67.5</v>
      </c>
      <c r="F264" s="6">
        <v>158.17500000000001</v>
      </c>
      <c r="G264" s="272">
        <v>0</v>
      </c>
      <c r="H264" s="6">
        <v>200</v>
      </c>
      <c r="I264" s="6">
        <f t="shared" si="77"/>
        <v>102.04049999999999</v>
      </c>
      <c r="J264" s="185">
        <f t="shared" si="78"/>
        <v>1202.7155</v>
      </c>
      <c r="K264" s="272">
        <f t="shared" si="79"/>
        <v>2232</v>
      </c>
      <c r="L264" s="272"/>
    </row>
    <row r="265" spans="2:15" outlineLevel="2" x14ac:dyDescent="0.25">
      <c r="B265" s="52" t="s">
        <v>290</v>
      </c>
      <c r="C265" s="53" t="s">
        <v>276</v>
      </c>
      <c r="D265" s="6">
        <v>675</v>
      </c>
      <c r="E265" s="6">
        <v>67.5</v>
      </c>
      <c r="F265" s="6">
        <v>158.17500000000001</v>
      </c>
      <c r="G265" s="272">
        <v>0</v>
      </c>
      <c r="H265" s="6">
        <v>200</v>
      </c>
      <c r="I265" s="6">
        <f t="shared" si="77"/>
        <v>102.04049999999999</v>
      </c>
      <c r="J265" s="185">
        <f t="shared" si="78"/>
        <v>1202.7155</v>
      </c>
      <c r="K265" s="272">
        <f t="shared" si="79"/>
        <v>2232</v>
      </c>
      <c r="L265" s="272"/>
    </row>
    <row r="266" spans="2:15" outlineLevel="2" x14ac:dyDescent="0.25">
      <c r="B266" s="52" t="s">
        <v>291</v>
      </c>
      <c r="C266" s="53" t="s">
        <v>276</v>
      </c>
      <c r="D266" s="6">
        <v>675</v>
      </c>
      <c r="E266" s="6">
        <v>67.5</v>
      </c>
      <c r="F266" s="6">
        <v>158.17500000000001</v>
      </c>
      <c r="G266" s="272">
        <v>0</v>
      </c>
      <c r="H266" s="6">
        <v>200</v>
      </c>
      <c r="I266" s="6">
        <f t="shared" ref="I266:I271" si="80">(D266+E266+F266)*0.06+(G266+H266)*0.24</f>
        <v>102.04049999999999</v>
      </c>
      <c r="J266" s="185">
        <f t="shared" ref="J266:J271" si="81">SUM(D266:I266)</f>
        <v>1202.7155</v>
      </c>
      <c r="K266" s="272">
        <f t="shared" si="79"/>
        <v>2232</v>
      </c>
      <c r="L266" s="272"/>
    </row>
    <row r="267" spans="2:15" outlineLevel="2" x14ac:dyDescent="0.25">
      <c r="B267" s="305" t="s">
        <v>307</v>
      </c>
      <c r="C267" s="53" t="s">
        <v>276</v>
      </c>
      <c r="D267" s="6">
        <v>675</v>
      </c>
      <c r="E267" s="6">
        <v>67.5</v>
      </c>
      <c r="F267" s="6">
        <v>158.17500000000001</v>
      </c>
      <c r="G267" s="272">
        <v>0</v>
      </c>
      <c r="H267" s="6">
        <v>200</v>
      </c>
      <c r="I267" s="6">
        <f t="shared" si="80"/>
        <v>102.04049999999999</v>
      </c>
      <c r="J267" s="185">
        <f t="shared" si="81"/>
        <v>1202.7155</v>
      </c>
      <c r="K267" s="272">
        <f t="shared" si="79"/>
        <v>2232</v>
      </c>
      <c r="L267" s="272"/>
    </row>
    <row r="268" spans="2:15" outlineLevel="2" x14ac:dyDescent="0.25">
      <c r="B268" s="305" t="s">
        <v>304</v>
      </c>
      <c r="C268" s="53" t="s">
        <v>276</v>
      </c>
      <c r="D268" s="6">
        <v>675</v>
      </c>
      <c r="E268" s="6">
        <v>67.5</v>
      </c>
      <c r="F268" s="6">
        <v>158.17500000000001</v>
      </c>
      <c r="G268" s="272">
        <v>0</v>
      </c>
      <c r="H268" s="6">
        <v>200</v>
      </c>
      <c r="I268" s="6">
        <f t="shared" si="80"/>
        <v>102.04049999999999</v>
      </c>
      <c r="J268" s="185">
        <f t="shared" si="81"/>
        <v>1202.7155</v>
      </c>
      <c r="K268" s="272">
        <f t="shared" si="79"/>
        <v>2232</v>
      </c>
      <c r="L268" s="272"/>
    </row>
    <row r="269" spans="2:15" outlineLevel="2" x14ac:dyDescent="0.25">
      <c r="B269" s="305" t="s">
        <v>305</v>
      </c>
      <c r="C269" s="53" t="s">
        <v>276</v>
      </c>
      <c r="D269" s="6">
        <v>675</v>
      </c>
      <c r="E269" s="6">
        <v>67.5</v>
      </c>
      <c r="F269" s="6">
        <v>158.17500000000001</v>
      </c>
      <c r="G269" s="272">
        <v>0</v>
      </c>
      <c r="H269" s="6">
        <v>200</v>
      </c>
      <c r="I269" s="6">
        <f t="shared" si="80"/>
        <v>102.04049999999999</v>
      </c>
      <c r="J269" s="185">
        <f t="shared" si="81"/>
        <v>1202.7155</v>
      </c>
      <c r="K269" s="272">
        <f t="shared" si="79"/>
        <v>2232</v>
      </c>
      <c r="L269" s="272"/>
    </row>
    <row r="270" spans="2:15" outlineLevel="2" x14ac:dyDescent="0.25">
      <c r="B270" s="305" t="s">
        <v>306</v>
      </c>
      <c r="C270" s="53" t="s">
        <v>276</v>
      </c>
      <c r="D270" s="6">
        <v>675</v>
      </c>
      <c r="E270" s="6">
        <v>67.5</v>
      </c>
      <c r="F270" s="6">
        <v>158.17500000000001</v>
      </c>
      <c r="G270" s="272">
        <v>0</v>
      </c>
      <c r="H270" s="6">
        <v>200</v>
      </c>
      <c r="I270" s="6">
        <f t="shared" si="80"/>
        <v>102.04049999999999</v>
      </c>
      <c r="J270" s="185">
        <f t="shared" si="81"/>
        <v>1202.7155</v>
      </c>
      <c r="K270" s="272">
        <f t="shared" si="79"/>
        <v>2232</v>
      </c>
      <c r="L270" s="272"/>
    </row>
    <row r="271" spans="2:15" outlineLevel="2" x14ac:dyDescent="0.25">
      <c r="B271" s="305" t="s">
        <v>308</v>
      </c>
      <c r="C271" s="53" t="s">
        <v>276</v>
      </c>
      <c r="D271" s="6">
        <v>675</v>
      </c>
      <c r="E271" s="6">
        <v>67.5</v>
      </c>
      <c r="F271" s="6">
        <v>158.17500000000001</v>
      </c>
      <c r="G271" s="272">
        <v>0</v>
      </c>
      <c r="H271" s="6">
        <v>200</v>
      </c>
      <c r="I271" s="6">
        <f t="shared" si="80"/>
        <v>102.04049999999999</v>
      </c>
      <c r="J271" s="185">
        <f t="shared" si="81"/>
        <v>1202.7155</v>
      </c>
      <c r="K271" s="272">
        <f t="shared" si="79"/>
        <v>2232</v>
      </c>
      <c r="L271" s="272"/>
    </row>
    <row r="272" spans="2:15" outlineLevel="2" x14ac:dyDescent="0.25">
      <c r="B272" s="52"/>
      <c r="C272" s="53"/>
      <c r="D272" s="6"/>
      <c r="E272" s="6"/>
      <c r="F272" s="6"/>
      <c r="G272" s="272"/>
      <c r="H272" s="272"/>
      <c r="I272" s="6">
        <f t="shared" si="77"/>
        <v>0</v>
      </c>
      <c r="J272" s="181">
        <f t="shared" si="78"/>
        <v>0</v>
      </c>
      <c r="K272" s="272"/>
      <c r="L272" s="272"/>
    </row>
    <row r="273" spans="2:12" outlineLevel="2" x14ac:dyDescent="0.25">
      <c r="B273" s="349" t="s">
        <v>126</v>
      </c>
      <c r="C273" s="350"/>
      <c r="D273" s="350"/>
      <c r="E273" s="350"/>
      <c r="F273" s="350"/>
      <c r="G273" s="350"/>
      <c r="H273" s="350"/>
      <c r="I273" s="350"/>
      <c r="J273" s="350"/>
      <c r="K273" s="350"/>
      <c r="L273" s="351"/>
    </row>
    <row r="274" spans="2:12" outlineLevel="1" x14ac:dyDescent="0.25"/>
  </sheetData>
  <mergeCells count="23">
    <mergeCell ref="B68:I68"/>
    <mergeCell ref="B88:I88"/>
    <mergeCell ref="B108:I108"/>
    <mergeCell ref="L256:L257"/>
    <mergeCell ref="D256:J256"/>
    <mergeCell ref="B255:L255"/>
    <mergeCell ref="B253:L253"/>
    <mergeCell ref="B273:L273"/>
    <mergeCell ref="J2:L2"/>
    <mergeCell ref="K256:K257"/>
    <mergeCell ref="B5:I5"/>
    <mergeCell ref="B230:I230"/>
    <mergeCell ref="B250:I250"/>
    <mergeCell ref="C2:H2"/>
    <mergeCell ref="B128:I128"/>
    <mergeCell ref="B131:I131"/>
    <mergeCell ref="B150:I150"/>
    <mergeCell ref="B170:I170"/>
    <mergeCell ref="B190:I190"/>
    <mergeCell ref="B210:I210"/>
    <mergeCell ref="B9:I9"/>
    <mergeCell ref="B28:I28"/>
    <mergeCell ref="B48:I48"/>
  </mergeCells>
  <phoneticPr fontId="29" type="noConversion"/>
  <hyperlinks>
    <hyperlink ref="J2" location="'Αρχική σελίδα'!A1" display="Πίσω στην αρχική σελίδα" xr:uid="{D3456933-AC57-4EA6-9F11-F2A128395BA8}"/>
  </hyperlinks>
  <pageMargins left="0.7" right="0.7" top="0.75" bottom="0.75" header="0.3" footer="0.3"/>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sheetPr>
  <dimension ref="B2:AN192"/>
  <sheetViews>
    <sheetView showGridLines="0" zoomScaleNormal="100" workbookViewId="0">
      <pane xSplit="2" ySplit="13" topLeftCell="AE186" activePane="bottomRight" state="frozen"/>
      <selection pane="topRight" activeCell="C1" sqref="C1"/>
      <selection pane="bottomLeft" activeCell="A14" sqref="A14"/>
      <selection pane="bottomRight" activeCell="A144" sqref="A144:XFD144"/>
    </sheetView>
  </sheetViews>
  <sheetFormatPr defaultRowHeight="15" outlineLevelRow="1" x14ac:dyDescent="0.25"/>
  <cols>
    <col min="1" max="1" width="2.85546875" customWidth="1"/>
    <col min="2" max="2" width="28.28515625" customWidth="1"/>
    <col min="3" max="3" width="27.28515625" customWidth="1"/>
    <col min="4" max="21" width="13.7109375" customWidth="1"/>
    <col min="22" max="22" width="18.7109375" customWidth="1"/>
    <col min="23" max="23" width="2.140625" customWidth="1"/>
    <col min="24" max="39" width="13.7109375" customWidth="1"/>
    <col min="40" max="40" width="18.7109375" customWidth="1"/>
  </cols>
  <sheetData>
    <row r="2" spans="2:40" ht="18.75" x14ac:dyDescent="0.3">
      <c r="B2" s="1" t="s">
        <v>1</v>
      </c>
      <c r="C2" s="353" t="str">
        <f>'Αρχική σελίδα'!C3</f>
        <v>HENGAS</v>
      </c>
      <c r="D2" s="353"/>
      <c r="E2" s="353"/>
      <c r="F2" s="353"/>
      <c r="G2" s="353"/>
      <c r="H2" s="353"/>
      <c r="J2" s="354" t="s">
        <v>213</v>
      </c>
      <c r="K2" s="354"/>
      <c r="L2" s="354"/>
    </row>
    <row r="3" spans="2:40" ht="18.75" x14ac:dyDescent="0.3">
      <c r="B3" s="2" t="s">
        <v>2</v>
      </c>
      <c r="C3" s="111">
        <f>'Αρχική σελίδα'!C4</f>
        <v>2023</v>
      </c>
      <c r="D3" s="48" t="s">
        <v>0</v>
      </c>
      <c r="E3" s="48">
        <f>C3+4</f>
        <v>2027</v>
      </c>
    </row>
    <row r="5" spans="2:40" ht="56.45" customHeight="1" x14ac:dyDescent="0.25">
      <c r="B5" s="355" t="s">
        <v>244</v>
      </c>
      <c r="C5" s="355"/>
      <c r="D5" s="355"/>
      <c r="E5" s="355"/>
      <c r="F5" s="355"/>
      <c r="G5" s="355"/>
      <c r="H5" s="355"/>
      <c r="I5" s="355"/>
    </row>
    <row r="6" spans="2:40" x14ac:dyDescent="0.25">
      <c r="B6" s="271"/>
      <c r="C6" s="271"/>
      <c r="D6" s="271"/>
      <c r="E6" s="271"/>
      <c r="F6" s="271"/>
      <c r="G6" s="271"/>
      <c r="H6" s="271"/>
    </row>
    <row r="7" spans="2:40" ht="18.75" x14ac:dyDescent="0.3">
      <c r="B7" s="112"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2018 - 2022 και ανάπτυξη σύμφωνα με το Πρόγραμμα Ανάπτυξης  2023 - 2027</v>
      </c>
      <c r="C7" s="113"/>
      <c r="D7" s="113"/>
      <c r="E7" s="113"/>
      <c r="F7" s="113"/>
      <c r="G7" s="113"/>
      <c r="H7" s="113"/>
      <c r="I7" s="113"/>
      <c r="J7" s="114"/>
    </row>
    <row r="9" spans="2:40" ht="17.25" customHeight="1" outlineLevel="1" x14ac:dyDescent="0.25">
      <c r="B9" s="352" t="s">
        <v>3</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row>
    <row r="10" spans="2:40"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2:40" ht="15" customHeight="1" outlineLevel="1" x14ac:dyDescent="0.25">
      <c r="B11" s="382"/>
      <c r="C11" s="385" t="s">
        <v>20</v>
      </c>
      <c r="D11" s="372" t="s">
        <v>262</v>
      </c>
      <c r="E11" s="373"/>
      <c r="F11" s="373"/>
      <c r="G11" s="373"/>
      <c r="H11" s="373"/>
      <c r="I11" s="373"/>
      <c r="J11" s="373"/>
      <c r="K11" s="373"/>
      <c r="L11" s="373"/>
      <c r="M11" s="373"/>
      <c r="N11" s="373"/>
      <c r="O11" s="373"/>
      <c r="P11" s="373"/>
      <c r="Q11" s="374"/>
      <c r="R11" s="372" t="s">
        <v>277</v>
      </c>
      <c r="S11" s="373"/>
      <c r="T11" s="374"/>
      <c r="U11" s="388" t="str">
        <f xml:space="preserve"> D12&amp;" - "&amp;R12</f>
        <v>2018 - 2022</v>
      </c>
      <c r="V11" s="389"/>
      <c r="X11" s="372" t="s">
        <v>261</v>
      </c>
      <c r="Y11" s="373"/>
      <c r="Z11" s="373"/>
      <c r="AA11" s="373"/>
      <c r="AB11" s="373"/>
      <c r="AC11" s="373"/>
      <c r="AD11" s="373"/>
      <c r="AE11" s="373"/>
      <c r="AF11" s="373"/>
      <c r="AG11" s="373"/>
      <c r="AH11" s="373"/>
      <c r="AI11" s="373"/>
      <c r="AJ11" s="373"/>
      <c r="AK11" s="373"/>
      <c r="AL11" s="373"/>
      <c r="AM11" s="373"/>
      <c r="AN11" s="375"/>
    </row>
    <row r="12" spans="2:40" ht="15" customHeight="1" outlineLevel="1" x14ac:dyDescent="0.25">
      <c r="B12" s="383"/>
      <c r="C12" s="386"/>
      <c r="D12" s="372">
        <f>$C$3-5</f>
        <v>2018</v>
      </c>
      <c r="E12" s="374"/>
      <c r="F12" s="372">
        <f>$C$3-4</f>
        <v>2019</v>
      </c>
      <c r="G12" s="373"/>
      <c r="H12" s="374"/>
      <c r="I12" s="372">
        <f>$C$3-3</f>
        <v>2020</v>
      </c>
      <c r="J12" s="373"/>
      <c r="K12" s="374"/>
      <c r="L12" s="372">
        <f>$C$3-2</f>
        <v>2021</v>
      </c>
      <c r="M12" s="373"/>
      <c r="N12" s="374"/>
      <c r="O12" s="372" t="str">
        <f>$C$3-1&amp;""&amp;" ("&amp;"Σεπτ"&amp;")"</f>
        <v>2022 (Σεπτ)</v>
      </c>
      <c r="P12" s="373"/>
      <c r="Q12" s="374"/>
      <c r="R12" s="372">
        <f>$C$3-1</f>
        <v>2022</v>
      </c>
      <c r="S12" s="373"/>
      <c r="T12" s="374"/>
      <c r="U12" s="390"/>
      <c r="V12" s="391"/>
      <c r="X12" s="372">
        <f>$C$3</f>
        <v>2023</v>
      </c>
      <c r="Y12" s="373"/>
      <c r="Z12" s="374"/>
      <c r="AA12" s="372">
        <f>$C$3+1</f>
        <v>2024</v>
      </c>
      <c r="AB12" s="373"/>
      <c r="AC12" s="374"/>
      <c r="AD12" s="372">
        <f>$C$3+2</f>
        <v>2025</v>
      </c>
      <c r="AE12" s="373"/>
      <c r="AF12" s="374"/>
      <c r="AG12" s="372">
        <f>$C$3+3</f>
        <v>2026</v>
      </c>
      <c r="AH12" s="373"/>
      <c r="AI12" s="374"/>
      <c r="AJ12" s="372">
        <f>$C$3+4</f>
        <v>2027</v>
      </c>
      <c r="AK12" s="373"/>
      <c r="AL12" s="374"/>
      <c r="AM12" s="376" t="str">
        <f>X12&amp;" - "&amp;AJ12</f>
        <v>2023 - 2027</v>
      </c>
      <c r="AN12" s="377"/>
    </row>
    <row r="13" spans="2:40" ht="30" outlineLevel="1" x14ac:dyDescent="0.25">
      <c r="B13" s="384"/>
      <c r="C13" s="387"/>
      <c r="D13" s="67" t="s">
        <v>4</v>
      </c>
      <c r="E13" s="68" t="s">
        <v>5</v>
      </c>
      <c r="F13" s="67" t="s">
        <v>4</v>
      </c>
      <c r="G13" s="9" t="s">
        <v>5</v>
      </c>
      <c r="H13" s="68" t="s">
        <v>81</v>
      </c>
      <c r="I13" s="67" t="s">
        <v>4</v>
      </c>
      <c r="J13" s="9" t="s">
        <v>5</v>
      </c>
      <c r="K13" s="68" t="s">
        <v>81</v>
      </c>
      <c r="L13" s="67" t="s">
        <v>4</v>
      </c>
      <c r="M13" s="9" t="s">
        <v>5</v>
      </c>
      <c r="N13" s="68" t="s">
        <v>81</v>
      </c>
      <c r="O13" s="67" t="s">
        <v>4</v>
      </c>
      <c r="P13" s="9" t="s">
        <v>5</v>
      </c>
      <c r="Q13" s="68" t="s">
        <v>81</v>
      </c>
      <c r="R13" s="67" t="s">
        <v>4</v>
      </c>
      <c r="S13" s="9" t="s">
        <v>5</v>
      </c>
      <c r="T13" s="68" t="s">
        <v>81</v>
      </c>
      <c r="U13" s="9" t="s">
        <v>17</v>
      </c>
      <c r="V13" s="60" t="s">
        <v>83</v>
      </c>
      <c r="X13" s="67" t="s">
        <v>4</v>
      </c>
      <c r="Y13" s="9" t="s">
        <v>5</v>
      </c>
      <c r="Z13" s="68" t="s">
        <v>81</v>
      </c>
      <c r="AA13" s="67" t="s">
        <v>4</v>
      </c>
      <c r="AB13" s="9" t="s">
        <v>5</v>
      </c>
      <c r="AC13" s="68" t="s">
        <v>81</v>
      </c>
      <c r="AD13" s="67" t="s">
        <v>4</v>
      </c>
      <c r="AE13" s="9" t="s">
        <v>5</v>
      </c>
      <c r="AF13" s="68" t="s">
        <v>81</v>
      </c>
      <c r="AG13" s="67" t="s">
        <v>4</v>
      </c>
      <c r="AH13" s="9" t="s">
        <v>5</v>
      </c>
      <c r="AI13" s="68" t="s">
        <v>81</v>
      </c>
      <c r="AJ13" s="67" t="s">
        <v>4</v>
      </c>
      <c r="AK13" s="9" t="s">
        <v>5</v>
      </c>
      <c r="AL13" s="68" t="s">
        <v>81</v>
      </c>
      <c r="AM13" s="9" t="s">
        <v>17</v>
      </c>
      <c r="AN13" s="60" t="s">
        <v>83</v>
      </c>
    </row>
    <row r="14" spans="2:40" outlineLevel="1" x14ac:dyDescent="0.25">
      <c r="B14" s="52" t="s">
        <v>283</v>
      </c>
      <c r="C14" s="64" t="s">
        <v>21</v>
      </c>
      <c r="D14" s="83">
        <v>0</v>
      </c>
      <c r="E14" s="84">
        <v>0</v>
      </c>
      <c r="F14" s="83">
        <v>0</v>
      </c>
      <c r="G14" s="186">
        <f t="shared" ref="G14:G22" si="0">E14+F14</f>
        <v>0</v>
      </c>
      <c r="H14" s="190">
        <f t="shared" ref="H14:H28" si="1">IFERROR((G14-E14)/E14,0)</f>
        <v>0</v>
      </c>
      <c r="I14" s="83">
        <v>0</v>
      </c>
      <c r="J14" s="186">
        <f t="shared" ref="J14:J179" si="2">G14+I14</f>
        <v>0</v>
      </c>
      <c r="K14" s="190">
        <f t="shared" ref="K14:K192" si="3">IFERROR((J14-G14)/G14,0)</f>
        <v>0</v>
      </c>
      <c r="L14" s="83">
        <v>0</v>
      </c>
      <c r="M14" s="186">
        <f t="shared" ref="M14:M179" si="4">J14+L14</f>
        <v>0</v>
      </c>
      <c r="N14" s="190">
        <f t="shared" ref="N14:N179" si="5">IFERROR((M14-J14)/J14,0)</f>
        <v>0</v>
      </c>
      <c r="O14" s="83"/>
      <c r="P14" s="150"/>
      <c r="Q14" s="152"/>
      <c r="R14" s="83">
        <v>0</v>
      </c>
      <c r="S14" s="186">
        <f t="shared" ref="S14:S28" si="6">M14+R14</f>
        <v>0</v>
      </c>
      <c r="T14" s="190">
        <f>IFERROR((S14-M14)/M14,0)</f>
        <v>0</v>
      </c>
      <c r="U14" s="181">
        <f t="shared" ref="U14:U28" si="7">D14+F14+I14+L14+R14</f>
        <v>0</v>
      </c>
      <c r="V14" s="192">
        <f>IFERROR((S14/E14)^(1/4)-1,0)</f>
        <v>0</v>
      </c>
      <c r="X14" s="83">
        <v>0</v>
      </c>
      <c r="Y14" s="186">
        <f t="shared" ref="Y14:Y23" si="8">S14+X14</f>
        <v>0</v>
      </c>
      <c r="Z14" s="190">
        <f>IFERROR((Y14-S14)/S14,0)</f>
        <v>0</v>
      </c>
      <c r="AA14" s="83">
        <v>0</v>
      </c>
      <c r="AB14" s="186">
        <f t="shared" ref="AB14:AB23" si="9">Y14+AA14</f>
        <v>0</v>
      </c>
      <c r="AC14" s="190">
        <f t="shared" ref="AC14:AC28" si="10">IFERROR((AB14-Y14)/Y14,0)</f>
        <v>0</v>
      </c>
      <c r="AD14" s="83">
        <v>0</v>
      </c>
      <c r="AE14" s="186">
        <f t="shared" ref="AE14:AE23" si="11">AB14+AD14</f>
        <v>0</v>
      </c>
      <c r="AF14" s="190">
        <f t="shared" ref="AF14:AF28" si="12">IFERROR((AE14-AB14)/AB14,0)</f>
        <v>0</v>
      </c>
      <c r="AG14" s="83">
        <v>0</v>
      </c>
      <c r="AH14" s="186">
        <f t="shared" ref="AH14:AH23" si="13">AE14+AG14</f>
        <v>0</v>
      </c>
      <c r="AI14" s="190">
        <f t="shared" ref="AI14:AI28" si="14">IFERROR((AH14-AE14)/AE14,0)</f>
        <v>0</v>
      </c>
      <c r="AJ14" s="83">
        <v>0</v>
      </c>
      <c r="AK14" s="186">
        <f t="shared" ref="AK14:AK23" si="15">AH14+AJ14</f>
        <v>0</v>
      </c>
      <c r="AL14" s="190">
        <f t="shared" ref="AL14:AL28" si="16">IFERROR((AK14-AH14)/AH14,0)</f>
        <v>0</v>
      </c>
      <c r="AM14" s="193">
        <f>X14+AA14+AD14+AG14+AJ14</f>
        <v>0</v>
      </c>
      <c r="AN14" s="192">
        <f>IFERROR((AK14/Y14)^(1/4)-1,0)</f>
        <v>0</v>
      </c>
    </row>
    <row r="15" spans="2:40" outlineLevel="1" x14ac:dyDescent="0.25">
      <c r="B15" s="52" t="s">
        <v>284</v>
      </c>
      <c r="C15" s="64" t="s">
        <v>21</v>
      </c>
      <c r="D15" s="83">
        <v>0</v>
      </c>
      <c r="E15" s="84">
        <v>0</v>
      </c>
      <c r="F15" s="83">
        <v>0</v>
      </c>
      <c r="G15" s="186">
        <f t="shared" si="0"/>
        <v>0</v>
      </c>
      <c r="H15" s="190">
        <f t="shared" si="1"/>
        <v>0</v>
      </c>
      <c r="I15" s="83">
        <v>0</v>
      </c>
      <c r="J15" s="186">
        <f t="shared" si="2"/>
        <v>0</v>
      </c>
      <c r="K15" s="190">
        <f t="shared" si="3"/>
        <v>0</v>
      </c>
      <c r="L15" s="83">
        <v>0</v>
      </c>
      <c r="M15" s="186">
        <f t="shared" si="4"/>
        <v>0</v>
      </c>
      <c r="N15" s="190">
        <f t="shared" si="5"/>
        <v>0</v>
      </c>
      <c r="O15" s="83"/>
      <c r="P15" s="150"/>
      <c r="Q15" s="152"/>
      <c r="R15" s="83">
        <v>0</v>
      </c>
      <c r="S15" s="186">
        <f t="shared" si="6"/>
        <v>0</v>
      </c>
      <c r="T15" s="190">
        <f t="shared" ref="T15:T28" si="17">IFERROR((S15-M15)/M15,0)</f>
        <v>0</v>
      </c>
      <c r="U15" s="181">
        <f t="shared" si="7"/>
        <v>0</v>
      </c>
      <c r="V15" s="192">
        <f t="shared" ref="V15:V28" si="18">IFERROR((S15/E15)^(1/4)-1,0)</f>
        <v>0</v>
      </c>
      <c r="X15" s="83">
        <v>0</v>
      </c>
      <c r="Y15" s="186">
        <f t="shared" si="8"/>
        <v>0</v>
      </c>
      <c r="Z15" s="190">
        <f t="shared" ref="Z15:Z28" si="19">IFERROR((Y15-S15)/S15,0)</f>
        <v>0</v>
      </c>
      <c r="AA15" s="83">
        <v>0</v>
      </c>
      <c r="AB15" s="186">
        <f t="shared" si="9"/>
        <v>0</v>
      </c>
      <c r="AC15" s="190">
        <f t="shared" si="10"/>
        <v>0</v>
      </c>
      <c r="AD15" s="83">
        <v>0</v>
      </c>
      <c r="AE15" s="186">
        <f t="shared" si="11"/>
        <v>0</v>
      </c>
      <c r="AF15" s="190">
        <f t="shared" si="12"/>
        <v>0</v>
      </c>
      <c r="AG15" s="83">
        <v>0</v>
      </c>
      <c r="AH15" s="186">
        <f t="shared" si="13"/>
        <v>0</v>
      </c>
      <c r="AI15" s="190">
        <f t="shared" si="14"/>
        <v>0</v>
      </c>
      <c r="AJ15" s="83">
        <v>0</v>
      </c>
      <c r="AK15" s="186">
        <f t="shared" si="15"/>
        <v>0</v>
      </c>
      <c r="AL15" s="190">
        <f t="shared" si="16"/>
        <v>0</v>
      </c>
      <c r="AM15" s="181">
        <f t="shared" ref="AM15:AM23" si="20">X15+AA15+AD15+AG15+AJ15</f>
        <v>0</v>
      </c>
      <c r="AN15" s="192">
        <f t="shared" ref="AN15:AN30" si="21">IFERROR((AK15/Y15)^(1/4)-1,0)</f>
        <v>0</v>
      </c>
    </row>
    <row r="16" spans="2:40" outlineLevel="1" x14ac:dyDescent="0.25">
      <c r="B16" s="52" t="s">
        <v>285</v>
      </c>
      <c r="C16" s="64" t="s">
        <v>21</v>
      </c>
      <c r="D16" s="83">
        <v>0</v>
      </c>
      <c r="E16" s="84">
        <v>0</v>
      </c>
      <c r="F16" s="83">
        <v>0</v>
      </c>
      <c r="G16" s="186">
        <f t="shared" si="0"/>
        <v>0</v>
      </c>
      <c r="H16" s="190">
        <f t="shared" si="1"/>
        <v>0</v>
      </c>
      <c r="I16" s="83">
        <v>0</v>
      </c>
      <c r="J16" s="186">
        <f t="shared" si="2"/>
        <v>0</v>
      </c>
      <c r="K16" s="190">
        <f t="shared" si="3"/>
        <v>0</v>
      </c>
      <c r="L16" s="83">
        <v>0</v>
      </c>
      <c r="M16" s="186">
        <f t="shared" si="4"/>
        <v>0</v>
      </c>
      <c r="N16" s="190">
        <f t="shared" si="5"/>
        <v>0</v>
      </c>
      <c r="O16" s="83"/>
      <c r="P16" s="150"/>
      <c r="Q16" s="152"/>
      <c r="R16" s="83">
        <v>0</v>
      </c>
      <c r="S16" s="186">
        <f t="shared" si="6"/>
        <v>0</v>
      </c>
      <c r="T16" s="190">
        <f t="shared" si="17"/>
        <v>0</v>
      </c>
      <c r="U16" s="181">
        <f t="shared" si="7"/>
        <v>0</v>
      </c>
      <c r="V16" s="192">
        <f t="shared" si="18"/>
        <v>0</v>
      </c>
      <c r="X16" s="83">
        <v>0</v>
      </c>
      <c r="Y16" s="186">
        <f t="shared" si="8"/>
        <v>0</v>
      </c>
      <c r="Z16" s="190">
        <f t="shared" si="19"/>
        <v>0</v>
      </c>
      <c r="AA16" s="83">
        <v>0</v>
      </c>
      <c r="AB16" s="186">
        <f t="shared" si="9"/>
        <v>0</v>
      </c>
      <c r="AC16" s="190">
        <f t="shared" si="10"/>
        <v>0</v>
      </c>
      <c r="AD16" s="83">
        <v>0</v>
      </c>
      <c r="AE16" s="186">
        <f t="shared" si="11"/>
        <v>0</v>
      </c>
      <c r="AF16" s="190">
        <f t="shared" si="12"/>
        <v>0</v>
      </c>
      <c r="AG16" s="83">
        <v>0</v>
      </c>
      <c r="AH16" s="186">
        <f t="shared" si="13"/>
        <v>0</v>
      </c>
      <c r="AI16" s="190">
        <f t="shared" si="14"/>
        <v>0</v>
      </c>
      <c r="AJ16" s="83">
        <v>0</v>
      </c>
      <c r="AK16" s="186">
        <f t="shared" si="15"/>
        <v>0</v>
      </c>
      <c r="AL16" s="190">
        <f t="shared" si="16"/>
        <v>0</v>
      </c>
      <c r="AM16" s="181">
        <f t="shared" si="20"/>
        <v>0</v>
      </c>
      <c r="AN16" s="192">
        <f t="shared" si="21"/>
        <v>0</v>
      </c>
    </row>
    <row r="17" spans="2:40" outlineLevel="1" x14ac:dyDescent="0.25">
      <c r="B17" s="52" t="s">
        <v>286</v>
      </c>
      <c r="C17" s="64" t="s">
        <v>21</v>
      </c>
      <c r="D17" s="85">
        <v>0</v>
      </c>
      <c r="E17" s="86">
        <v>0</v>
      </c>
      <c r="F17" s="83">
        <v>0</v>
      </c>
      <c r="G17" s="187">
        <f t="shared" ref="G17" si="22">E17+F17</f>
        <v>0</v>
      </c>
      <c r="H17" s="191">
        <f t="shared" ref="H17" si="23">IFERROR((G17-E17)/E17,0)</f>
        <v>0</v>
      </c>
      <c r="I17" s="83">
        <v>0</v>
      </c>
      <c r="J17" s="187">
        <f t="shared" ref="J17" si="24">G17+I17</f>
        <v>0</v>
      </c>
      <c r="K17" s="191">
        <f t="shared" ref="K17" si="25">IFERROR((J17-G17)/G17,0)</f>
        <v>0</v>
      </c>
      <c r="L17" s="83">
        <v>0</v>
      </c>
      <c r="M17" s="187">
        <f t="shared" ref="M17" si="26">J17+L17</f>
        <v>0</v>
      </c>
      <c r="N17" s="191">
        <f t="shared" ref="N17" si="27">IFERROR((M17-J17)/J17,0)</f>
        <v>0</v>
      </c>
      <c r="O17" s="85"/>
      <c r="P17" s="152"/>
      <c r="Q17" s="152"/>
      <c r="R17" s="85">
        <v>0</v>
      </c>
      <c r="S17" s="186">
        <f t="shared" ref="S17" si="28">M17+R17</f>
        <v>0</v>
      </c>
      <c r="T17" s="191">
        <f t="shared" ref="T17" si="29">IFERROR((S17-M17)/M17,0)</f>
        <v>0</v>
      </c>
      <c r="U17" s="181">
        <f t="shared" ref="U17" si="30">D17+F17+I17+L17+R17</f>
        <v>0</v>
      </c>
      <c r="V17" s="192">
        <f t="shared" ref="V17" si="31">IFERROR((S17/E17)^(1/4)-1,0)</f>
        <v>0</v>
      </c>
      <c r="X17" s="85">
        <v>13000</v>
      </c>
      <c r="Y17" s="186">
        <f t="shared" ref="Y17" si="32">S17+X17</f>
        <v>13000</v>
      </c>
      <c r="Z17" s="191">
        <f t="shared" ref="Z17" si="33">IFERROR((Y17-S17)/S17,0)</f>
        <v>0</v>
      </c>
      <c r="AA17" s="85">
        <v>0</v>
      </c>
      <c r="AB17" s="187">
        <f t="shared" ref="AB17" si="34">Y17+AA17</f>
        <v>13000</v>
      </c>
      <c r="AC17" s="191">
        <f t="shared" ref="AC17" si="35">IFERROR((AB17-Y17)/Y17,0)</f>
        <v>0</v>
      </c>
      <c r="AD17" s="85">
        <v>0</v>
      </c>
      <c r="AE17" s="187">
        <f t="shared" ref="AE17" si="36">AB17+AD17</f>
        <v>13000</v>
      </c>
      <c r="AF17" s="191">
        <f t="shared" ref="AF17" si="37">IFERROR((AE17-AB17)/AB17,0)</f>
        <v>0</v>
      </c>
      <c r="AG17" s="85">
        <v>0</v>
      </c>
      <c r="AH17" s="187">
        <f t="shared" ref="AH17" si="38">AE17+AG17</f>
        <v>13000</v>
      </c>
      <c r="AI17" s="191">
        <f t="shared" ref="AI17" si="39">IFERROR((AH17-AE17)/AE17,0)</f>
        <v>0</v>
      </c>
      <c r="AJ17" s="85">
        <v>0</v>
      </c>
      <c r="AK17" s="187">
        <f t="shared" ref="AK17" si="40">AH17+AJ17</f>
        <v>13000</v>
      </c>
      <c r="AL17" s="191">
        <f t="shared" ref="AL17" si="41">IFERROR((AK17-AH17)/AH17,0)</f>
        <v>0</v>
      </c>
      <c r="AM17" s="181">
        <f t="shared" ref="AM17" si="42">X17+AA17+AD17+AG17+AJ17</f>
        <v>13000</v>
      </c>
      <c r="AN17" s="192">
        <f t="shared" ref="AN17" si="43">IFERROR((AK17/Y17)^(1/4)-1,0)</f>
        <v>0</v>
      </c>
    </row>
    <row r="18" spans="2:40" outlineLevel="1" x14ac:dyDescent="0.25">
      <c r="B18" s="52" t="s">
        <v>287</v>
      </c>
      <c r="C18" s="64" t="s">
        <v>21</v>
      </c>
      <c r="D18" s="85">
        <v>0</v>
      </c>
      <c r="E18" s="86">
        <v>0</v>
      </c>
      <c r="F18" s="83">
        <v>0</v>
      </c>
      <c r="G18" s="187">
        <f t="shared" ref="G18" si="44">E18+F18</f>
        <v>0</v>
      </c>
      <c r="H18" s="191">
        <f t="shared" ref="H18" si="45">IFERROR((G18-E18)/E18,0)</f>
        <v>0</v>
      </c>
      <c r="I18" s="83">
        <v>0</v>
      </c>
      <c r="J18" s="187">
        <f t="shared" ref="J18" si="46">G18+I18</f>
        <v>0</v>
      </c>
      <c r="K18" s="191">
        <f t="shared" ref="K18" si="47">IFERROR((J18-G18)/G18,0)</f>
        <v>0</v>
      </c>
      <c r="L18" s="83">
        <v>0</v>
      </c>
      <c r="M18" s="187">
        <f t="shared" ref="M18" si="48">J18+L18</f>
        <v>0</v>
      </c>
      <c r="N18" s="191">
        <f t="shared" ref="N18" si="49">IFERROR((M18-J18)/J18,0)</f>
        <v>0</v>
      </c>
      <c r="O18" s="85"/>
      <c r="P18" s="152"/>
      <c r="Q18" s="152"/>
      <c r="R18" s="85">
        <v>0</v>
      </c>
      <c r="S18" s="186">
        <f t="shared" ref="S18" si="50">M18+R18</f>
        <v>0</v>
      </c>
      <c r="T18" s="191">
        <f t="shared" ref="T18" si="51">IFERROR((S18-M18)/M18,0)</f>
        <v>0</v>
      </c>
      <c r="U18" s="181">
        <f t="shared" ref="U18" si="52">D18+F18+I18+L18+R18</f>
        <v>0</v>
      </c>
      <c r="V18" s="192">
        <f t="shared" ref="V18" si="53">IFERROR((S18/E18)^(1/4)-1,0)</f>
        <v>0</v>
      </c>
      <c r="X18" s="85">
        <v>9000</v>
      </c>
      <c r="Y18" s="186">
        <f t="shared" ref="Y18" si="54">S18+X18</f>
        <v>9000</v>
      </c>
      <c r="Z18" s="191">
        <f t="shared" ref="Z18" si="55">IFERROR((Y18-S18)/S18,0)</f>
        <v>0</v>
      </c>
      <c r="AA18" s="85">
        <v>0</v>
      </c>
      <c r="AB18" s="187">
        <f t="shared" ref="AB18" si="56">Y18+AA18</f>
        <v>9000</v>
      </c>
      <c r="AC18" s="191">
        <f t="shared" ref="AC18" si="57">IFERROR((AB18-Y18)/Y18,0)</f>
        <v>0</v>
      </c>
      <c r="AD18" s="85">
        <v>0</v>
      </c>
      <c r="AE18" s="187">
        <f t="shared" ref="AE18" si="58">AB18+AD18</f>
        <v>9000</v>
      </c>
      <c r="AF18" s="191">
        <f t="shared" ref="AF18" si="59">IFERROR((AE18-AB18)/AB18,0)</f>
        <v>0</v>
      </c>
      <c r="AG18" s="85">
        <v>0</v>
      </c>
      <c r="AH18" s="187">
        <f t="shared" ref="AH18" si="60">AE18+AG18</f>
        <v>9000</v>
      </c>
      <c r="AI18" s="191">
        <f t="shared" ref="AI18" si="61">IFERROR((AH18-AE18)/AE18,0)</f>
        <v>0</v>
      </c>
      <c r="AJ18" s="85">
        <v>0</v>
      </c>
      <c r="AK18" s="187">
        <f t="shared" ref="AK18" si="62">AH18+AJ18</f>
        <v>9000</v>
      </c>
      <c r="AL18" s="191">
        <f t="shared" ref="AL18" si="63">IFERROR((AK18-AH18)/AH18,0)</f>
        <v>0</v>
      </c>
      <c r="AM18" s="181">
        <f t="shared" ref="AM18" si="64">X18+AA18+AD18+AG18+AJ18</f>
        <v>9000</v>
      </c>
      <c r="AN18" s="192">
        <f t="shared" ref="AN18" si="65">IFERROR((AK18/Y18)^(1/4)-1,0)</f>
        <v>0</v>
      </c>
    </row>
    <row r="19" spans="2:40" outlineLevel="1" x14ac:dyDescent="0.25">
      <c r="B19" s="52" t="s">
        <v>288</v>
      </c>
      <c r="C19" s="64" t="s">
        <v>21</v>
      </c>
      <c r="D19" s="85">
        <v>0</v>
      </c>
      <c r="E19" s="86">
        <v>0</v>
      </c>
      <c r="F19" s="83">
        <v>0</v>
      </c>
      <c r="G19" s="187">
        <f t="shared" ref="G19:G21" si="66">E19+F19</f>
        <v>0</v>
      </c>
      <c r="H19" s="191">
        <f t="shared" ref="H19:H21" si="67">IFERROR((G19-E19)/E19,0)</f>
        <v>0</v>
      </c>
      <c r="I19" s="83">
        <v>0</v>
      </c>
      <c r="J19" s="187">
        <f t="shared" ref="J19:J21" si="68">G19+I19</f>
        <v>0</v>
      </c>
      <c r="K19" s="191">
        <f t="shared" ref="K19:K21" si="69">IFERROR((J19-G19)/G19,0)</f>
        <v>0</v>
      </c>
      <c r="L19" s="83">
        <v>0</v>
      </c>
      <c r="M19" s="187">
        <f t="shared" ref="M19:M21" si="70">J19+L19</f>
        <v>0</v>
      </c>
      <c r="N19" s="191">
        <f t="shared" ref="N19:N21" si="71">IFERROR((M19-J19)/J19,0)</f>
        <v>0</v>
      </c>
      <c r="O19" s="85"/>
      <c r="P19" s="152"/>
      <c r="Q19" s="152"/>
      <c r="R19" s="85">
        <v>2446</v>
      </c>
      <c r="S19" s="186">
        <f t="shared" ref="S19:S21" si="72">M19+R19</f>
        <v>2446</v>
      </c>
      <c r="T19" s="191">
        <f t="shared" ref="T19:T21" si="73">IFERROR((S19-M19)/M19,0)</f>
        <v>0</v>
      </c>
      <c r="U19" s="181">
        <f t="shared" ref="U19:U21" si="74">D19+F19+I19+L19+R19</f>
        <v>2446</v>
      </c>
      <c r="V19" s="192">
        <f t="shared" ref="V19:V21" si="75">IFERROR((S19/E19)^(1/4)-1,0)</f>
        <v>0</v>
      </c>
      <c r="X19" s="85">
        <v>5298</v>
      </c>
      <c r="Y19" s="186">
        <f t="shared" ref="Y19:Y21" si="76">S19+X19</f>
        <v>7744</v>
      </c>
      <c r="Z19" s="191">
        <f t="shared" ref="Z19:Z21" si="77">IFERROR((Y19-S19)/S19,0)</f>
        <v>2.1659852820932133</v>
      </c>
      <c r="AA19" s="85">
        <v>0</v>
      </c>
      <c r="AB19" s="187">
        <f t="shared" ref="AB19:AB21" si="78">Y19+AA19</f>
        <v>7744</v>
      </c>
      <c r="AC19" s="191">
        <f t="shared" ref="AC19:AC21" si="79">IFERROR((AB19-Y19)/Y19,0)</f>
        <v>0</v>
      </c>
      <c r="AD19" s="85">
        <v>0</v>
      </c>
      <c r="AE19" s="187">
        <f t="shared" ref="AE19:AE21" si="80">AB19+AD19</f>
        <v>7744</v>
      </c>
      <c r="AF19" s="191">
        <f t="shared" ref="AF19:AF21" si="81">IFERROR((AE19-AB19)/AB19,0)</f>
        <v>0</v>
      </c>
      <c r="AG19" s="85">
        <v>0</v>
      </c>
      <c r="AH19" s="187">
        <f t="shared" ref="AH19:AH21" si="82">AE19+AG19</f>
        <v>7744</v>
      </c>
      <c r="AI19" s="191">
        <f t="shared" ref="AI19:AI21" si="83">IFERROR((AH19-AE19)/AE19,0)</f>
        <v>0</v>
      </c>
      <c r="AJ19" s="85">
        <v>0</v>
      </c>
      <c r="AK19" s="187">
        <f t="shared" ref="AK19:AK21" si="84">AH19+AJ19</f>
        <v>7744</v>
      </c>
      <c r="AL19" s="191">
        <f t="shared" ref="AL19:AL21" si="85">IFERROR((AK19-AH19)/AH19,0)</f>
        <v>0</v>
      </c>
      <c r="AM19" s="181">
        <f t="shared" ref="AM19:AM21" si="86">X19+AA19+AD19+AG19+AJ19</f>
        <v>5298</v>
      </c>
      <c r="AN19" s="192">
        <f t="shared" ref="AN19:AN21" si="87">IFERROR((AK19/Y19)^(1/4)-1,0)</f>
        <v>0</v>
      </c>
    </row>
    <row r="20" spans="2:40" outlineLevel="1" x14ac:dyDescent="0.25">
      <c r="B20" s="52" t="s">
        <v>289</v>
      </c>
      <c r="C20" s="64" t="s">
        <v>21</v>
      </c>
      <c r="D20" s="85">
        <v>0</v>
      </c>
      <c r="E20" s="86">
        <v>0</v>
      </c>
      <c r="F20" s="83">
        <v>0</v>
      </c>
      <c r="G20" s="187">
        <f t="shared" si="66"/>
        <v>0</v>
      </c>
      <c r="H20" s="191">
        <f t="shared" si="67"/>
        <v>0</v>
      </c>
      <c r="I20" s="83">
        <v>0</v>
      </c>
      <c r="J20" s="187">
        <f t="shared" si="68"/>
        <v>0</v>
      </c>
      <c r="K20" s="191">
        <f t="shared" si="69"/>
        <v>0</v>
      </c>
      <c r="L20" s="83">
        <v>0</v>
      </c>
      <c r="M20" s="187">
        <f t="shared" si="70"/>
        <v>0</v>
      </c>
      <c r="N20" s="191">
        <f t="shared" si="71"/>
        <v>0</v>
      </c>
      <c r="O20" s="85"/>
      <c r="P20" s="152"/>
      <c r="Q20" s="152"/>
      <c r="R20" s="85">
        <v>4550</v>
      </c>
      <c r="S20" s="186">
        <f t="shared" si="72"/>
        <v>4550</v>
      </c>
      <c r="T20" s="191">
        <f t="shared" si="73"/>
        <v>0</v>
      </c>
      <c r="U20" s="181">
        <f t="shared" si="74"/>
        <v>4550</v>
      </c>
      <c r="V20" s="192">
        <f t="shared" si="75"/>
        <v>0</v>
      </c>
      <c r="X20" s="85">
        <v>5550</v>
      </c>
      <c r="Y20" s="186">
        <f t="shared" si="76"/>
        <v>10100</v>
      </c>
      <c r="Z20" s="191">
        <f t="shared" si="77"/>
        <v>1.2197802197802199</v>
      </c>
      <c r="AA20" s="85">
        <v>0</v>
      </c>
      <c r="AB20" s="187">
        <f t="shared" si="78"/>
        <v>10100</v>
      </c>
      <c r="AC20" s="191">
        <f t="shared" si="79"/>
        <v>0</v>
      </c>
      <c r="AD20" s="85">
        <v>0</v>
      </c>
      <c r="AE20" s="187">
        <f t="shared" si="80"/>
        <v>10100</v>
      </c>
      <c r="AF20" s="191">
        <f t="shared" si="81"/>
        <v>0</v>
      </c>
      <c r="AG20" s="85">
        <v>0</v>
      </c>
      <c r="AH20" s="187">
        <f t="shared" si="82"/>
        <v>10100</v>
      </c>
      <c r="AI20" s="191">
        <f t="shared" si="83"/>
        <v>0</v>
      </c>
      <c r="AJ20" s="85">
        <v>0</v>
      </c>
      <c r="AK20" s="187">
        <f t="shared" si="84"/>
        <v>10100</v>
      </c>
      <c r="AL20" s="191">
        <f t="shared" si="85"/>
        <v>0</v>
      </c>
      <c r="AM20" s="181">
        <f t="shared" si="86"/>
        <v>5550</v>
      </c>
      <c r="AN20" s="192">
        <f t="shared" si="87"/>
        <v>0</v>
      </c>
    </row>
    <row r="21" spans="2:40" outlineLevel="1" x14ac:dyDescent="0.25">
      <c r="B21" s="52" t="s">
        <v>290</v>
      </c>
      <c r="C21" s="64" t="s">
        <v>21</v>
      </c>
      <c r="D21" s="85">
        <v>0</v>
      </c>
      <c r="E21" s="86">
        <v>0</v>
      </c>
      <c r="F21" s="83">
        <v>0</v>
      </c>
      <c r="G21" s="187">
        <f t="shared" si="66"/>
        <v>0</v>
      </c>
      <c r="H21" s="191">
        <f t="shared" si="67"/>
        <v>0</v>
      </c>
      <c r="I21" s="83">
        <v>0</v>
      </c>
      <c r="J21" s="187">
        <f t="shared" si="68"/>
        <v>0</v>
      </c>
      <c r="K21" s="191">
        <f t="shared" si="69"/>
        <v>0</v>
      </c>
      <c r="L21" s="83">
        <v>0</v>
      </c>
      <c r="M21" s="187">
        <f t="shared" si="70"/>
        <v>0</v>
      </c>
      <c r="N21" s="191">
        <f t="shared" si="71"/>
        <v>0</v>
      </c>
      <c r="O21" s="85"/>
      <c r="P21" s="152"/>
      <c r="Q21" s="152"/>
      <c r="R21" s="85">
        <v>0</v>
      </c>
      <c r="S21" s="186">
        <f t="shared" si="72"/>
        <v>0</v>
      </c>
      <c r="T21" s="191">
        <f t="shared" si="73"/>
        <v>0</v>
      </c>
      <c r="U21" s="181">
        <f t="shared" si="74"/>
        <v>0</v>
      </c>
      <c r="V21" s="192">
        <f t="shared" si="75"/>
        <v>0</v>
      </c>
      <c r="X21" s="85">
        <v>6000</v>
      </c>
      <c r="Y21" s="186">
        <f t="shared" si="76"/>
        <v>6000</v>
      </c>
      <c r="Z21" s="191">
        <f t="shared" si="77"/>
        <v>0</v>
      </c>
      <c r="AA21" s="85">
        <v>0</v>
      </c>
      <c r="AB21" s="187">
        <f t="shared" si="78"/>
        <v>6000</v>
      </c>
      <c r="AC21" s="191">
        <f t="shared" si="79"/>
        <v>0</v>
      </c>
      <c r="AD21" s="85">
        <v>0</v>
      </c>
      <c r="AE21" s="187">
        <f t="shared" si="80"/>
        <v>6000</v>
      </c>
      <c r="AF21" s="191">
        <f t="shared" si="81"/>
        <v>0</v>
      </c>
      <c r="AG21" s="85">
        <v>0</v>
      </c>
      <c r="AH21" s="187">
        <f t="shared" si="82"/>
        <v>6000</v>
      </c>
      <c r="AI21" s="191">
        <f t="shared" si="83"/>
        <v>0</v>
      </c>
      <c r="AJ21" s="85">
        <v>0</v>
      </c>
      <c r="AK21" s="187">
        <f t="shared" si="84"/>
        <v>6000</v>
      </c>
      <c r="AL21" s="191">
        <f t="shared" si="85"/>
        <v>0</v>
      </c>
      <c r="AM21" s="181">
        <f t="shared" si="86"/>
        <v>6000</v>
      </c>
      <c r="AN21" s="192">
        <f t="shared" si="87"/>
        <v>0</v>
      </c>
    </row>
    <row r="22" spans="2:40" outlineLevel="1" x14ac:dyDescent="0.25">
      <c r="B22" s="52" t="s">
        <v>291</v>
      </c>
      <c r="C22" s="64" t="s">
        <v>21</v>
      </c>
      <c r="D22" s="85">
        <v>0</v>
      </c>
      <c r="E22" s="86">
        <v>0</v>
      </c>
      <c r="F22" s="83">
        <v>0</v>
      </c>
      <c r="G22" s="187">
        <f t="shared" si="0"/>
        <v>0</v>
      </c>
      <c r="H22" s="191">
        <f t="shared" si="1"/>
        <v>0</v>
      </c>
      <c r="I22" s="83">
        <v>0</v>
      </c>
      <c r="J22" s="187">
        <f t="shared" si="2"/>
        <v>0</v>
      </c>
      <c r="K22" s="191">
        <f t="shared" si="3"/>
        <v>0</v>
      </c>
      <c r="L22" s="83">
        <v>0</v>
      </c>
      <c r="M22" s="187">
        <f t="shared" si="4"/>
        <v>0</v>
      </c>
      <c r="N22" s="191">
        <f t="shared" si="5"/>
        <v>0</v>
      </c>
      <c r="O22" s="85"/>
      <c r="P22" s="152"/>
      <c r="Q22" s="152"/>
      <c r="R22" s="85">
        <v>3781.88</v>
      </c>
      <c r="S22" s="186">
        <f t="shared" si="6"/>
        <v>3781.88</v>
      </c>
      <c r="T22" s="191">
        <f t="shared" si="17"/>
        <v>0</v>
      </c>
      <c r="U22" s="181">
        <f t="shared" si="7"/>
        <v>3781.88</v>
      </c>
      <c r="V22" s="192">
        <f t="shared" si="18"/>
        <v>0</v>
      </c>
      <c r="X22" s="85">
        <v>0</v>
      </c>
      <c r="Y22" s="186">
        <f t="shared" si="8"/>
        <v>3781.88</v>
      </c>
      <c r="Z22" s="191">
        <f t="shared" si="19"/>
        <v>0</v>
      </c>
      <c r="AA22" s="85">
        <v>0</v>
      </c>
      <c r="AB22" s="187">
        <f t="shared" si="9"/>
        <v>3781.88</v>
      </c>
      <c r="AC22" s="191">
        <f t="shared" si="10"/>
        <v>0</v>
      </c>
      <c r="AD22" s="85">
        <v>0</v>
      </c>
      <c r="AE22" s="187">
        <f t="shared" si="11"/>
        <v>3781.88</v>
      </c>
      <c r="AF22" s="191">
        <f t="shared" si="12"/>
        <v>0</v>
      </c>
      <c r="AG22" s="85">
        <v>0</v>
      </c>
      <c r="AH22" s="187">
        <f t="shared" si="13"/>
        <v>3781.88</v>
      </c>
      <c r="AI22" s="191">
        <f t="shared" si="14"/>
        <v>0</v>
      </c>
      <c r="AJ22" s="85">
        <v>0</v>
      </c>
      <c r="AK22" s="187">
        <f t="shared" si="15"/>
        <v>3781.88</v>
      </c>
      <c r="AL22" s="191">
        <f t="shared" si="16"/>
        <v>0</v>
      </c>
      <c r="AM22" s="181">
        <f t="shared" si="20"/>
        <v>0</v>
      </c>
      <c r="AN22" s="192">
        <f t="shared" si="21"/>
        <v>0</v>
      </c>
    </row>
    <row r="23" spans="2:40" outlineLevel="1" x14ac:dyDescent="0.25">
      <c r="B23" s="52" t="s">
        <v>307</v>
      </c>
      <c r="C23" s="64" t="s">
        <v>21</v>
      </c>
      <c r="D23" s="85"/>
      <c r="E23" s="86"/>
      <c r="F23" s="83"/>
      <c r="G23" s="187"/>
      <c r="H23" s="191">
        <f t="shared" si="1"/>
        <v>0</v>
      </c>
      <c r="I23" s="83"/>
      <c r="J23" s="187"/>
      <c r="K23" s="191">
        <f t="shared" si="3"/>
        <v>0</v>
      </c>
      <c r="L23" s="83"/>
      <c r="M23" s="187"/>
      <c r="N23" s="191">
        <f t="shared" si="5"/>
        <v>0</v>
      </c>
      <c r="O23" s="85"/>
      <c r="P23" s="152"/>
      <c r="Q23" s="152"/>
      <c r="R23" s="85"/>
      <c r="S23" s="186">
        <f t="shared" si="6"/>
        <v>0</v>
      </c>
      <c r="T23" s="191">
        <f t="shared" si="17"/>
        <v>0</v>
      </c>
      <c r="U23" s="181">
        <f t="shared" si="7"/>
        <v>0</v>
      </c>
      <c r="V23" s="192">
        <f t="shared" si="18"/>
        <v>0</v>
      </c>
      <c r="X23" s="85"/>
      <c r="Y23" s="186">
        <f t="shared" si="8"/>
        <v>0</v>
      </c>
      <c r="Z23" s="191">
        <f t="shared" si="19"/>
        <v>0</v>
      </c>
      <c r="AA23" s="85"/>
      <c r="AB23" s="187">
        <f t="shared" si="9"/>
        <v>0</v>
      </c>
      <c r="AC23" s="191">
        <f t="shared" si="10"/>
        <v>0</v>
      </c>
      <c r="AD23" s="85"/>
      <c r="AE23" s="187">
        <f t="shared" si="11"/>
        <v>0</v>
      </c>
      <c r="AF23" s="191">
        <f t="shared" si="12"/>
        <v>0</v>
      </c>
      <c r="AG23" s="85"/>
      <c r="AH23" s="187">
        <f t="shared" si="13"/>
        <v>0</v>
      </c>
      <c r="AI23" s="191">
        <f t="shared" si="14"/>
        <v>0</v>
      </c>
      <c r="AJ23" s="85"/>
      <c r="AK23" s="187">
        <f t="shared" si="15"/>
        <v>0</v>
      </c>
      <c r="AL23" s="191">
        <f t="shared" si="16"/>
        <v>0</v>
      </c>
      <c r="AM23" s="181">
        <f t="shared" si="20"/>
        <v>0</v>
      </c>
      <c r="AN23" s="192">
        <f t="shared" si="21"/>
        <v>0</v>
      </c>
    </row>
    <row r="24" spans="2:40" outlineLevel="1" x14ac:dyDescent="0.25">
      <c r="B24" s="52" t="s">
        <v>304</v>
      </c>
      <c r="C24" s="64" t="s">
        <v>21</v>
      </c>
      <c r="D24" s="85"/>
      <c r="E24" s="86"/>
      <c r="F24" s="83"/>
      <c r="G24" s="187"/>
      <c r="H24" s="191">
        <f t="shared" si="1"/>
        <v>0</v>
      </c>
      <c r="I24" s="83"/>
      <c r="J24" s="187"/>
      <c r="K24" s="191">
        <f t="shared" si="3"/>
        <v>0</v>
      </c>
      <c r="L24" s="83"/>
      <c r="M24" s="187"/>
      <c r="N24" s="191">
        <f t="shared" si="5"/>
        <v>0</v>
      </c>
      <c r="O24" s="85"/>
      <c r="P24" s="152"/>
      <c r="Q24" s="152"/>
      <c r="R24" s="85"/>
      <c r="S24" s="186">
        <f t="shared" si="6"/>
        <v>0</v>
      </c>
      <c r="T24" s="191">
        <f t="shared" si="17"/>
        <v>0</v>
      </c>
      <c r="U24" s="181">
        <f t="shared" si="7"/>
        <v>0</v>
      </c>
      <c r="V24" s="192">
        <f t="shared" si="18"/>
        <v>0</v>
      </c>
      <c r="X24" s="85"/>
      <c r="Y24" s="186"/>
      <c r="Z24" s="191">
        <f t="shared" si="19"/>
        <v>0</v>
      </c>
      <c r="AA24" s="85"/>
      <c r="AB24" s="187"/>
      <c r="AC24" s="191">
        <f t="shared" si="10"/>
        <v>0</v>
      </c>
      <c r="AD24" s="85"/>
      <c r="AE24" s="187"/>
      <c r="AF24" s="191">
        <f t="shared" si="12"/>
        <v>0</v>
      </c>
      <c r="AG24" s="85"/>
      <c r="AH24" s="187"/>
      <c r="AI24" s="191">
        <f t="shared" si="14"/>
        <v>0</v>
      </c>
      <c r="AJ24" s="85"/>
      <c r="AK24" s="187"/>
      <c r="AL24" s="191">
        <f t="shared" si="16"/>
        <v>0</v>
      </c>
      <c r="AM24" s="181"/>
      <c r="AN24" s="192">
        <f t="shared" si="21"/>
        <v>0</v>
      </c>
    </row>
    <row r="25" spans="2:40" outlineLevel="1" x14ac:dyDescent="0.25">
      <c r="B25" s="52" t="s">
        <v>305</v>
      </c>
      <c r="C25" s="64" t="s">
        <v>21</v>
      </c>
      <c r="D25" s="85"/>
      <c r="E25" s="86"/>
      <c r="F25" s="83"/>
      <c r="G25" s="187"/>
      <c r="H25" s="191">
        <f t="shared" si="1"/>
        <v>0</v>
      </c>
      <c r="I25" s="83"/>
      <c r="J25" s="187"/>
      <c r="K25" s="191">
        <f t="shared" si="3"/>
        <v>0</v>
      </c>
      <c r="L25" s="83"/>
      <c r="M25" s="187"/>
      <c r="N25" s="191">
        <f t="shared" si="5"/>
        <v>0</v>
      </c>
      <c r="O25" s="85"/>
      <c r="P25" s="152"/>
      <c r="Q25" s="152"/>
      <c r="R25" s="85"/>
      <c r="S25" s="186">
        <f t="shared" si="6"/>
        <v>0</v>
      </c>
      <c r="T25" s="191">
        <f t="shared" si="17"/>
        <v>0</v>
      </c>
      <c r="U25" s="181">
        <f t="shared" si="7"/>
        <v>0</v>
      </c>
      <c r="V25" s="192">
        <f t="shared" si="18"/>
        <v>0</v>
      </c>
      <c r="X25" s="85"/>
      <c r="Y25" s="186"/>
      <c r="Z25" s="191">
        <f t="shared" si="19"/>
        <v>0</v>
      </c>
      <c r="AA25" s="85"/>
      <c r="AB25" s="187"/>
      <c r="AC25" s="191">
        <f t="shared" si="10"/>
        <v>0</v>
      </c>
      <c r="AD25" s="85"/>
      <c r="AE25" s="187"/>
      <c r="AF25" s="191">
        <f t="shared" si="12"/>
        <v>0</v>
      </c>
      <c r="AG25" s="85"/>
      <c r="AH25" s="187"/>
      <c r="AI25" s="191">
        <f t="shared" si="14"/>
        <v>0</v>
      </c>
      <c r="AJ25" s="85"/>
      <c r="AK25" s="187"/>
      <c r="AL25" s="191">
        <f t="shared" si="16"/>
        <v>0</v>
      </c>
      <c r="AM25" s="181"/>
      <c r="AN25" s="192">
        <f t="shared" si="21"/>
        <v>0</v>
      </c>
    </row>
    <row r="26" spans="2:40" outlineLevel="1" x14ac:dyDescent="0.25">
      <c r="B26" s="52" t="s">
        <v>306</v>
      </c>
      <c r="C26" s="64" t="s">
        <v>21</v>
      </c>
      <c r="D26" s="85"/>
      <c r="E26" s="86"/>
      <c r="F26" s="83"/>
      <c r="G26" s="187"/>
      <c r="H26" s="191">
        <f t="shared" si="1"/>
        <v>0</v>
      </c>
      <c r="I26" s="83"/>
      <c r="J26" s="187"/>
      <c r="K26" s="191">
        <f t="shared" si="3"/>
        <v>0</v>
      </c>
      <c r="L26" s="83"/>
      <c r="M26" s="187"/>
      <c r="N26" s="191">
        <f t="shared" si="5"/>
        <v>0</v>
      </c>
      <c r="O26" s="85"/>
      <c r="P26" s="152"/>
      <c r="Q26" s="152"/>
      <c r="R26" s="85"/>
      <c r="S26" s="186">
        <f t="shared" si="6"/>
        <v>0</v>
      </c>
      <c r="T26" s="191">
        <f t="shared" si="17"/>
        <v>0</v>
      </c>
      <c r="U26" s="181">
        <f t="shared" si="7"/>
        <v>0</v>
      </c>
      <c r="V26" s="192">
        <f t="shared" si="18"/>
        <v>0</v>
      </c>
      <c r="X26" s="85"/>
      <c r="Y26" s="186"/>
      <c r="Z26" s="191">
        <f t="shared" si="19"/>
        <v>0</v>
      </c>
      <c r="AA26" s="85"/>
      <c r="AB26" s="187"/>
      <c r="AC26" s="191">
        <f t="shared" si="10"/>
        <v>0</v>
      </c>
      <c r="AD26" s="85"/>
      <c r="AE26" s="187"/>
      <c r="AF26" s="191">
        <f t="shared" si="12"/>
        <v>0</v>
      </c>
      <c r="AG26" s="85"/>
      <c r="AH26" s="187"/>
      <c r="AI26" s="191">
        <f t="shared" si="14"/>
        <v>0</v>
      </c>
      <c r="AJ26" s="85"/>
      <c r="AK26" s="187"/>
      <c r="AL26" s="191">
        <f t="shared" si="16"/>
        <v>0</v>
      </c>
      <c r="AM26" s="181"/>
      <c r="AN26" s="192">
        <f t="shared" si="21"/>
        <v>0</v>
      </c>
    </row>
    <row r="27" spans="2:40" outlineLevel="1" x14ac:dyDescent="0.25">
      <c r="B27" s="52" t="s">
        <v>308</v>
      </c>
      <c r="C27" s="64" t="s">
        <v>21</v>
      </c>
      <c r="D27" s="85"/>
      <c r="E27" s="86"/>
      <c r="F27" s="83"/>
      <c r="G27" s="187"/>
      <c r="H27" s="191">
        <f t="shared" si="1"/>
        <v>0</v>
      </c>
      <c r="I27" s="83"/>
      <c r="J27" s="187"/>
      <c r="K27" s="191">
        <f t="shared" si="3"/>
        <v>0</v>
      </c>
      <c r="L27" s="83"/>
      <c r="M27" s="187"/>
      <c r="N27" s="191">
        <f t="shared" si="5"/>
        <v>0</v>
      </c>
      <c r="O27" s="85"/>
      <c r="P27" s="152"/>
      <c r="Q27" s="152"/>
      <c r="R27" s="85"/>
      <c r="S27" s="186">
        <f t="shared" si="6"/>
        <v>0</v>
      </c>
      <c r="T27" s="191">
        <f t="shared" si="17"/>
        <v>0</v>
      </c>
      <c r="U27" s="181">
        <f t="shared" si="7"/>
        <v>0</v>
      </c>
      <c r="V27" s="192">
        <f t="shared" si="18"/>
        <v>0</v>
      </c>
      <c r="X27" s="85"/>
      <c r="Y27" s="186"/>
      <c r="Z27" s="191">
        <f t="shared" si="19"/>
        <v>0</v>
      </c>
      <c r="AA27" s="85"/>
      <c r="AB27" s="187"/>
      <c r="AC27" s="191">
        <f t="shared" si="10"/>
        <v>0</v>
      </c>
      <c r="AD27" s="85"/>
      <c r="AE27" s="187"/>
      <c r="AF27" s="191">
        <f t="shared" si="12"/>
        <v>0</v>
      </c>
      <c r="AG27" s="85"/>
      <c r="AH27" s="187"/>
      <c r="AI27" s="191">
        <f t="shared" si="14"/>
        <v>0</v>
      </c>
      <c r="AJ27" s="85"/>
      <c r="AK27" s="187"/>
      <c r="AL27" s="191">
        <f t="shared" si="16"/>
        <v>0</v>
      </c>
      <c r="AM27" s="181"/>
      <c r="AN27" s="192">
        <f t="shared" si="21"/>
        <v>0</v>
      </c>
    </row>
    <row r="28" spans="2:40" outlineLevel="1" x14ac:dyDescent="0.25">
      <c r="B28" s="52"/>
      <c r="C28" s="64"/>
      <c r="D28" s="85"/>
      <c r="E28" s="86"/>
      <c r="F28" s="83"/>
      <c r="G28" s="187"/>
      <c r="H28" s="191">
        <f t="shared" si="1"/>
        <v>0</v>
      </c>
      <c r="I28" s="83"/>
      <c r="J28" s="187"/>
      <c r="K28" s="191">
        <f t="shared" si="3"/>
        <v>0</v>
      </c>
      <c r="L28" s="83"/>
      <c r="M28" s="187"/>
      <c r="N28" s="191">
        <f t="shared" si="5"/>
        <v>0</v>
      </c>
      <c r="O28" s="85"/>
      <c r="P28" s="152"/>
      <c r="Q28" s="152"/>
      <c r="R28" s="85"/>
      <c r="S28" s="186">
        <f t="shared" si="6"/>
        <v>0</v>
      </c>
      <c r="T28" s="191">
        <f t="shared" si="17"/>
        <v>0</v>
      </c>
      <c r="U28" s="181">
        <f t="shared" si="7"/>
        <v>0</v>
      </c>
      <c r="V28" s="192">
        <f t="shared" si="18"/>
        <v>0</v>
      </c>
      <c r="X28" s="85"/>
      <c r="Y28" s="186"/>
      <c r="Z28" s="191">
        <f t="shared" si="19"/>
        <v>0</v>
      </c>
      <c r="AA28" s="85"/>
      <c r="AB28" s="187"/>
      <c r="AC28" s="191">
        <f t="shared" si="10"/>
        <v>0</v>
      </c>
      <c r="AD28" s="85"/>
      <c r="AE28" s="187"/>
      <c r="AF28" s="191">
        <f t="shared" si="12"/>
        <v>0</v>
      </c>
      <c r="AG28" s="85"/>
      <c r="AH28" s="187"/>
      <c r="AI28" s="191">
        <f t="shared" si="14"/>
        <v>0</v>
      </c>
      <c r="AJ28" s="85"/>
      <c r="AK28" s="187"/>
      <c r="AL28" s="191">
        <f t="shared" si="16"/>
        <v>0</v>
      </c>
      <c r="AM28" s="181"/>
      <c r="AN28" s="192">
        <f t="shared" si="21"/>
        <v>0</v>
      </c>
    </row>
    <row r="29" spans="2:40" outlineLevel="1" x14ac:dyDescent="0.25">
      <c r="B29" s="349" t="s">
        <v>90</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1"/>
    </row>
    <row r="30" spans="2:40" outlineLevel="1" x14ac:dyDescent="0.25">
      <c r="B30" s="52" t="s">
        <v>82</v>
      </c>
      <c r="C30" s="49" t="s">
        <v>21</v>
      </c>
      <c r="D30" s="188">
        <f>SUM(D14:D28)</f>
        <v>0</v>
      </c>
      <c r="E30" s="189">
        <f>SUM(E14:E28)</f>
        <v>0</v>
      </c>
      <c r="F30" s="188">
        <f>SUM(F14:F28)</f>
        <v>0</v>
      </c>
      <c r="G30" s="187">
        <f>SUM(G14:G28)</f>
        <v>0</v>
      </c>
      <c r="H30" s="191">
        <f>IFERROR((G30-E30)/E30,0)</f>
        <v>0</v>
      </c>
      <c r="I30" s="188">
        <f>SUM(I14:I28)</f>
        <v>0</v>
      </c>
      <c r="J30" s="187">
        <f>SUM(J14:J28)</f>
        <v>0</v>
      </c>
      <c r="K30" s="191">
        <f t="shared" si="3"/>
        <v>0</v>
      </c>
      <c r="L30" s="188">
        <f>SUM(L14:L28)</f>
        <v>0</v>
      </c>
      <c r="M30" s="187">
        <f>SUM(M14:M28)</f>
        <v>0</v>
      </c>
      <c r="N30" s="191">
        <f>IFERROR((M30-J30)/J30,0)</f>
        <v>0</v>
      </c>
      <c r="O30" s="188">
        <f>SUM(O14:O28)</f>
        <v>0</v>
      </c>
      <c r="P30" s="152"/>
      <c r="Q30" s="152"/>
      <c r="R30" s="188">
        <f>SUM(R14:R28)</f>
        <v>10777.880000000001</v>
      </c>
      <c r="S30" s="187">
        <f>M30+R30</f>
        <v>10777.880000000001</v>
      </c>
      <c r="T30" s="191">
        <f>IFERROR((S30-M30)/M30,0)</f>
        <v>0</v>
      </c>
      <c r="U30" s="181">
        <f>D30+F30+I30+L30+R30</f>
        <v>10777.880000000001</v>
      </c>
      <c r="V30" s="192">
        <f>IFERROR((S30/E30)^(1/4)-1,0)</f>
        <v>0</v>
      </c>
      <c r="X30" s="188">
        <f>SUM(X14:X28)</f>
        <v>38848</v>
      </c>
      <c r="Y30" s="187">
        <f>SUM(Y14:Y28)</f>
        <v>49625.88</v>
      </c>
      <c r="Z30" s="191">
        <f>IFERROR((Y30-S30)/S30,0)</f>
        <v>3.6044194220013579</v>
      </c>
      <c r="AA30" s="188">
        <f>SUM(AA14:AA28)</f>
        <v>0</v>
      </c>
      <c r="AB30" s="187">
        <f>SUM(AB14:AB28)</f>
        <v>49625.88</v>
      </c>
      <c r="AC30" s="191">
        <f t="shared" ref="AC30" si="88">IFERROR((AB30-Y30)/Y30,0)</f>
        <v>0</v>
      </c>
      <c r="AD30" s="188">
        <f>SUM(AD14:AD28)</f>
        <v>0</v>
      </c>
      <c r="AE30" s="187">
        <f>SUM(AE14:AE28)</f>
        <v>49625.88</v>
      </c>
      <c r="AF30" s="191">
        <f t="shared" ref="AF30" si="89">IFERROR((AE30-AB30)/AB30,0)</f>
        <v>0</v>
      </c>
      <c r="AG30" s="188">
        <f>SUM(AG14:AG28)</f>
        <v>0</v>
      </c>
      <c r="AH30" s="187">
        <f>SUM(AH14:AH28)</f>
        <v>49625.88</v>
      </c>
      <c r="AI30" s="191">
        <f t="shared" ref="AI30" si="90">IFERROR((AH30-AE30)/AE30,0)</f>
        <v>0</v>
      </c>
      <c r="AJ30" s="188">
        <f>SUM(AJ14:AJ28)</f>
        <v>0</v>
      </c>
      <c r="AK30" s="187">
        <f>SUM(AK14:AK28)</f>
        <v>49625.88</v>
      </c>
      <c r="AL30" s="191">
        <f t="shared" ref="AL30" si="91">IFERROR((AK30-AH30)/AH30,0)</f>
        <v>0</v>
      </c>
      <c r="AM30" s="187">
        <f>SUM(AM14:AM28)</f>
        <v>38848</v>
      </c>
      <c r="AN30" s="192">
        <f t="shared" si="21"/>
        <v>0</v>
      </c>
    </row>
    <row r="31" spans="2:40" outlineLevel="1" x14ac:dyDescent="0.25">
      <c r="R31" s="55" t="s">
        <v>278</v>
      </c>
    </row>
    <row r="32" spans="2:40" outlineLevel="1" x14ac:dyDescent="0.25"/>
    <row r="33" spans="2:40" ht="17.25" customHeight="1" x14ac:dyDescent="0.25">
      <c r="B33" s="352" t="s">
        <v>23</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67"/>
    </row>
    <row r="34" spans="2:40" ht="5.45" customHeight="1" outlineLevel="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row>
    <row r="35" spans="2:40" ht="15" customHeight="1" outlineLevel="1" x14ac:dyDescent="0.25">
      <c r="B35" s="368"/>
      <c r="C35" s="369" t="s">
        <v>20</v>
      </c>
      <c r="D35" s="372" t="s">
        <v>262</v>
      </c>
      <c r="E35" s="373"/>
      <c r="F35" s="373"/>
      <c r="G35" s="373"/>
      <c r="H35" s="373"/>
      <c r="I35" s="373"/>
      <c r="J35" s="373"/>
      <c r="K35" s="373"/>
      <c r="L35" s="373"/>
      <c r="M35" s="373"/>
      <c r="N35" s="373"/>
      <c r="O35" s="373"/>
      <c r="P35" s="373"/>
      <c r="Q35" s="374"/>
      <c r="R35" s="372" t="s">
        <v>260</v>
      </c>
      <c r="S35" s="373"/>
      <c r="T35" s="374"/>
      <c r="U35" s="388" t="str">
        <f xml:space="preserve"> D36&amp;" - "&amp;R36</f>
        <v>2018 - 2022</v>
      </c>
      <c r="V35" s="389"/>
      <c r="X35" s="372" t="s">
        <v>261</v>
      </c>
      <c r="Y35" s="373"/>
      <c r="Z35" s="373"/>
      <c r="AA35" s="373"/>
      <c r="AB35" s="373"/>
      <c r="AC35" s="373"/>
      <c r="AD35" s="373"/>
      <c r="AE35" s="373"/>
      <c r="AF35" s="373"/>
      <c r="AG35" s="373"/>
      <c r="AH35" s="373"/>
      <c r="AI35" s="373"/>
      <c r="AJ35" s="373"/>
      <c r="AK35" s="373"/>
      <c r="AL35" s="373"/>
      <c r="AM35" s="373"/>
      <c r="AN35" s="375"/>
    </row>
    <row r="36" spans="2:40" ht="15" customHeight="1" outlineLevel="1" x14ac:dyDescent="0.25">
      <c r="B36" s="368"/>
      <c r="C36" s="370"/>
      <c r="D36" s="372">
        <f>$C$3-5</f>
        <v>2018</v>
      </c>
      <c r="E36" s="374"/>
      <c r="F36" s="372">
        <f>$C$3-4</f>
        <v>2019</v>
      </c>
      <c r="G36" s="373"/>
      <c r="H36" s="374"/>
      <c r="I36" s="372">
        <f>$C$3-3</f>
        <v>2020</v>
      </c>
      <c r="J36" s="373"/>
      <c r="K36" s="374"/>
      <c r="L36" s="372">
        <f>$C$3-2</f>
        <v>2021</v>
      </c>
      <c r="M36" s="373"/>
      <c r="N36" s="374"/>
      <c r="O36" s="372" t="str">
        <f>$C$3-1&amp;""&amp;" ("&amp;"Σεπτ"&amp;")"</f>
        <v>2022 (Σεπτ)</v>
      </c>
      <c r="P36" s="373"/>
      <c r="Q36" s="374"/>
      <c r="R36" s="372">
        <f>$C$3-1</f>
        <v>2022</v>
      </c>
      <c r="S36" s="373"/>
      <c r="T36" s="374"/>
      <c r="U36" s="390"/>
      <c r="V36" s="391"/>
      <c r="X36" s="372">
        <f>$C$3</f>
        <v>2023</v>
      </c>
      <c r="Y36" s="373"/>
      <c r="Z36" s="374"/>
      <c r="AA36" s="372">
        <f>$C$3+1</f>
        <v>2024</v>
      </c>
      <c r="AB36" s="373"/>
      <c r="AC36" s="374"/>
      <c r="AD36" s="372">
        <f>$C$3+2</f>
        <v>2025</v>
      </c>
      <c r="AE36" s="373"/>
      <c r="AF36" s="374"/>
      <c r="AG36" s="372">
        <f>$C$3+3</f>
        <v>2026</v>
      </c>
      <c r="AH36" s="373"/>
      <c r="AI36" s="374"/>
      <c r="AJ36" s="372">
        <f>$C$3+4</f>
        <v>2027</v>
      </c>
      <c r="AK36" s="373"/>
      <c r="AL36" s="374"/>
      <c r="AM36" s="376" t="str">
        <f>X36&amp;" - "&amp;AJ36</f>
        <v>2023 - 2027</v>
      </c>
      <c r="AN36" s="377"/>
    </row>
    <row r="37" spans="2:40" ht="30" outlineLevel="1" x14ac:dyDescent="0.25">
      <c r="B37" s="368"/>
      <c r="C37" s="371"/>
      <c r="D37" s="67" t="s">
        <v>4</v>
      </c>
      <c r="E37" s="68" t="s">
        <v>5</v>
      </c>
      <c r="F37" s="67" t="s">
        <v>4</v>
      </c>
      <c r="G37" s="9" t="s">
        <v>5</v>
      </c>
      <c r="H37" s="68" t="s">
        <v>81</v>
      </c>
      <c r="I37" s="67" t="s">
        <v>4</v>
      </c>
      <c r="J37" s="9" t="s">
        <v>5</v>
      </c>
      <c r="K37" s="68" t="s">
        <v>81</v>
      </c>
      <c r="L37" s="67" t="s">
        <v>4</v>
      </c>
      <c r="M37" s="9" t="s">
        <v>5</v>
      </c>
      <c r="N37" s="68" t="s">
        <v>81</v>
      </c>
      <c r="O37" s="67" t="s">
        <v>4</v>
      </c>
      <c r="P37" s="9" t="s">
        <v>5</v>
      </c>
      <c r="Q37" s="68" t="s">
        <v>81</v>
      </c>
      <c r="R37" s="67" t="s">
        <v>4</v>
      </c>
      <c r="S37" s="9" t="s">
        <v>5</v>
      </c>
      <c r="T37" s="68" t="s">
        <v>81</v>
      </c>
      <c r="U37" s="9" t="s">
        <v>17</v>
      </c>
      <c r="V37" s="60" t="s">
        <v>83</v>
      </c>
      <c r="X37" s="67" t="s">
        <v>4</v>
      </c>
      <c r="Y37" s="9" t="s">
        <v>5</v>
      </c>
      <c r="Z37" s="68" t="s">
        <v>81</v>
      </c>
      <c r="AA37" s="67" t="s">
        <v>4</v>
      </c>
      <c r="AB37" s="9" t="s">
        <v>5</v>
      </c>
      <c r="AC37" s="68" t="s">
        <v>81</v>
      </c>
      <c r="AD37" s="67" t="s">
        <v>4</v>
      </c>
      <c r="AE37" s="9" t="s">
        <v>5</v>
      </c>
      <c r="AF37" s="68" t="s">
        <v>81</v>
      </c>
      <c r="AG37" s="67" t="s">
        <v>4</v>
      </c>
      <c r="AH37" s="9" t="s">
        <v>5</v>
      </c>
      <c r="AI37" s="68" t="s">
        <v>81</v>
      </c>
      <c r="AJ37" s="67" t="s">
        <v>4</v>
      </c>
      <c r="AK37" s="9" t="s">
        <v>5</v>
      </c>
      <c r="AL37" s="68" t="s">
        <v>81</v>
      </c>
      <c r="AM37" s="9" t="s">
        <v>17</v>
      </c>
      <c r="AN37" s="60" t="s">
        <v>83</v>
      </c>
    </row>
    <row r="38" spans="2:40" ht="14.25" customHeight="1" outlineLevel="1" x14ac:dyDescent="0.25">
      <c r="B38" s="52" t="s">
        <v>283</v>
      </c>
      <c r="C38" s="64" t="s">
        <v>21</v>
      </c>
      <c r="D38" s="83">
        <v>0</v>
      </c>
      <c r="E38" s="83">
        <v>0</v>
      </c>
      <c r="F38" s="83">
        <v>0</v>
      </c>
      <c r="G38" s="186">
        <f t="shared" ref="G38:G46" si="92">E38+F38</f>
        <v>0</v>
      </c>
      <c r="H38" s="190">
        <f t="shared" ref="H38:H52" si="93">IFERROR((G38-E38)/E38,0)</f>
        <v>0</v>
      </c>
      <c r="I38" s="83">
        <v>0</v>
      </c>
      <c r="J38" s="186">
        <f t="shared" si="2"/>
        <v>0</v>
      </c>
      <c r="K38" s="190">
        <f t="shared" si="3"/>
        <v>0</v>
      </c>
      <c r="L38" s="83">
        <v>2637.9</v>
      </c>
      <c r="M38" s="186">
        <f t="shared" si="4"/>
        <v>2637.9</v>
      </c>
      <c r="N38" s="190">
        <f t="shared" si="5"/>
        <v>0</v>
      </c>
      <c r="O38" s="83"/>
      <c r="P38" s="150"/>
      <c r="Q38" s="152"/>
      <c r="R38" s="83"/>
      <c r="S38" s="186">
        <f t="shared" ref="S38:S52" si="94">M38+R38</f>
        <v>2637.9</v>
      </c>
      <c r="T38" s="190">
        <f t="shared" ref="T38:T52" si="95">IFERROR((S38-M38)/M38,0)</f>
        <v>0</v>
      </c>
      <c r="U38" s="181">
        <f t="shared" ref="U38:U52" si="96">D38+F38+I38+L38+R38</f>
        <v>2637.9</v>
      </c>
      <c r="V38" s="192">
        <f t="shared" ref="V38:V52" si="97">IFERROR((S38/E38)^(1/4)-1,0)</f>
        <v>0</v>
      </c>
      <c r="X38" s="83">
        <v>500</v>
      </c>
      <c r="Y38" s="186">
        <f t="shared" ref="Y38:Y51" si="98">S38+X38</f>
        <v>3137.9</v>
      </c>
      <c r="Z38" s="190">
        <f t="shared" ref="Z38:Z52" si="99">IFERROR((Y38-S38)/S38,0)</f>
        <v>0.18954471359793776</v>
      </c>
      <c r="AA38" s="83">
        <v>500</v>
      </c>
      <c r="AB38" s="186">
        <f t="shared" ref="AB38:AB51" si="100">Y38+AA38</f>
        <v>3637.9</v>
      </c>
      <c r="AC38" s="190">
        <f t="shared" ref="AC38:AC54" si="101">IFERROR((AB38-Y38)/Y38,0)</f>
        <v>0.15934223525287614</v>
      </c>
      <c r="AD38" s="83"/>
      <c r="AE38" s="186">
        <f t="shared" ref="AE38:AE51" si="102">AB38+AD38</f>
        <v>3637.9</v>
      </c>
      <c r="AF38" s="190">
        <f t="shared" ref="AF38:AF52" si="103">IFERROR((AE38-AB38)/AB38,0)</f>
        <v>0</v>
      </c>
      <c r="AG38" s="83"/>
      <c r="AH38" s="186">
        <f t="shared" ref="AH38:AH51" si="104">AE38+AG38</f>
        <v>3637.9</v>
      </c>
      <c r="AI38" s="190">
        <f t="shared" ref="AI38:AI52" si="105">IFERROR((AH38-AE38)/AE38,0)</f>
        <v>0</v>
      </c>
      <c r="AJ38" s="83"/>
      <c r="AK38" s="186">
        <f t="shared" ref="AK38:AK51" si="106">AH38+AJ38</f>
        <v>3637.9</v>
      </c>
      <c r="AL38" s="190">
        <f t="shared" ref="AL38:AL52" si="107">IFERROR((AK38-AH38)/AH38,0)</f>
        <v>0</v>
      </c>
      <c r="AM38" s="181">
        <f>X38+AA38+AD38+AG38+AJ38</f>
        <v>1000</v>
      </c>
      <c r="AN38" s="192">
        <f>IFERROR((AK38/Y38)^(1/4)-1,0)</f>
        <v>3.7654835920431617E-2</v>
      </c>
    </row>
    <row r="39" spans="2:40" outlineLevel="1" x14ac:dyDescent="0.25">
      <c r="B39" s="52" t="s">
        <v>284</v>
      </c>
      <c r="C39" s="64" t="s">
        <v>21</v>
      </c>
      <c r="D39" s="83">
        <v>0</v>
      </c>
      <c r="E39" s="83">
        <v>0</v>
      </c>
      <c r="F39" s="83">
        <v>0</v>
      </c>
      <c r="G39" s="186">
        <f t="shared" si="92"/>
        <v>0</v>
      </c>
      <c r="H39" s="190">
        <f t="shared" si="93"/>
        <v>0</v>
      </c>
      <c r="I39" s="83">
        <v>0</v>
      </c>
      <c r="J39" s="186">
        <f t="shared" si="2"/>
        <v>0</v>
      </c>
      <c r="K39" s="190">
        <f t="shared" si="3"/>
        <v>0</v>
      </c>
      <c r="L39" s="83">
        <v>0</v>
      </c>
      <c r="M39" s="186">
        <f t="shared" si="4"/>
        <v>0</v>
      </c>
      <c r="N39" s="190">
        <f t="shared" si="5"/>
        <v>0</v>
      </c>
      <c r="O39" s="83"/>
      <c r="P39" s="150"/>
      <c r="Q39" s="152"/>
      <c r="R39" s="83">
        <v>5638.1</v>
      </c>
      <c r="S39" s="186">
        <f t="shared" si="94"/>
        <v>5638.1</v>
      </c>
      <c r="T39" s="190">
        <f t="shared" si="95"/>
        <v>0</v>
      </c>
      <c r="U39" s="181">
        <f t="shared" si="96"/>
        <v>5638.1</v>
      </c>
      <c r="V39" s="192">
        <f t="shared" si="97"/>
        <v>0</v>
      </c>
      <c r="X39" s="83">
        <v>10775</v>
      </c>
      <c r="Y39" s="186">
        <f t="shared" si="98"/>
        <v>16413.099999999999</v>
      </c>
      <c r="Z39" s="190">
        <f t="shared" si="99"/>
        <v>1.9111048048101307</v>
      </c>
      <c r="AA39" s="83">
        <v>1000</v>
      </c>
      <c r="AB39" s="186">
        <f t="shared" si="100"/>
        <v>17413.099999999999</v>
      </c>
      <c r="AC39" s="190">
        <f t="shared" si="101"/>
        <v>6.0926942503244368E-2</v>
      </c>
      <c r="AD39" s="83">
        <v>1000</v>
      </c>
      <c r="AE39" s="186">
        <f t="shared" si="102"/>
        <v>18413.099999999999</v>
      </c>
      <c r="AF39" s="190">
        <f t="shared" si="103"/>
        <v>5.7428028323503577E-2</v>
      </c>
      <c r="AG39" s="83">
        <v>1000</v>
      </c>
      <c r="AH39" s="186">
        <f t="shared" si="104"/>
        <v>19413.099999999999</v>
      </c>
      <c r="AI39" s="190">
        <f t="shared" si="105"/>
        <v>5.4309160326072206E-2</v>
      </c>
      <c r="AJ39" s="83">
        <v>1000</v>
      </c>
      <c r="AK39" s="186">
        <f t="shared" si="106"/>
        <v>20413.099999999999</v>
      </c>
      <c r="AL39" s="190">
        <f t="shared" si="107"/>
        <v>5.1511608140894553E-2</v>
      </c>
      <c r="AM39" s="181">
        <f t="shared" ref="AM39:AM50" si="108">X39+AA39+AD39+AG39+AJ39</f>
        <v>14775</v>
      </c>
      <c r="AN39" s="192">
        <f t="shared" ref="AN39:AN54" si="109">IFERROR((AK39/Y39)^(1/4)-1,0)</f>
        <v>5.6038099588441082E-2</v>
      </c>
    </row>
    <row r="40" spans="2:40" outlineLevel="1" x14ac:dyDescent="0.25">
      <c r="B40" s="52" t="s">
        <v>285</v>
      </c>
      <c r="C40" s="64" t="s">
        <v>21</v>
      </c>
      <c r="D40" s="83">
        <v>0</v>
      </c>
      <c r="E40" s="83">
        <v>0</v>
      </c>
      <c r="F40" s="83">
        <v>0</v>
      </c>
      <c r="G40" s="186">
        <f t="shared" si="92"/>
        <v>0</v>
      </c>
      <c r="H40" s="190">
        <f t="shared" si="93"/>
        <v>0</v>
      </c>
      <c r="I40" s="83">
        <v>0</v>
      </c>
      <c r="J40" s="186">
        <f t="shared" si="2"/>
        <v>0</v>
      </c>
      <c r="K40" s="190">
        <f t="shared" si="3"/>
        <v>0</v>
      </c>
      <c r="L40" s="83">
        <v>0</v>
      </c>
      <c r="M40" s="186">
        <f t="shared" si="4"/>
        <v>0</v>
      </c>
      <c r="N40" s="190">
        <f t="shared" si="5"/>
        <v>0</v>
      </c>
      <c r="O40" s="83"/>
      <c r="P40" s="150"/>
      <c r="Q40" s="152"/>
      <c r="R40" s="83">
        <v>7572.17</v>
      </c>
      <c r="S40" s="186">
        <f t="shared" si="94"/>
        <v>7572.17</v>
      </c>
      <c r="T40" s="190">
        <f t="shared" si="95"/>
        <v>0</v>
      </c>
      <c r="U40" s="181">
        <f t="shared" si="96"/>
        <v>7572.17</v>
      </c>
      <c r="V40" s="192">
        <f t="shared" si="97"/>
        <v>0</v>
      </c>
      <c r="X40" s="83">
        <v>8186</v>
      </c>
      <c r="Y40" s="186">
        <f t="shared" si="98"/>
        <v>15758.17</v>
      </c>
      <c r="Z40" s="190">
        <f t="shared" si="99"/>
        <v>1.0810639486435196</v>
      </c>
      <c r="AA40" s="83">
        <v>1000</v>
      </c>
      <c r="AB40" s="186">
        <f t="shared" si="100"/>
        <v>16758.169999999998</v>
      </c>
      <c r="AC40" s="190">
        <f t="shared" si="101"/>
        <v>6.345914531953889E-2</v>
      </c>
      <c r="AD40" s="83">
        <v>1000</v>
      </c>
      <c r="AE40" s="186">
        <f t="shared" si="102"/>
        <v>17758.169999999998</v>
      </c>
      <c r="AF40" s="190">
        <f t="shared" si="103"/>
        <v>5.9672386662744208E-2</v>
      </c>
      <c r="AG40" s="83">
        <v>1000</v>
      </c>
      <c r="AH40" s="186">
        <f t="shared" si="104"/>
        <v>18758.169999999998</v>
      </c>
      <c r="AI40" s="190">
        <f t="shared" si="105"/>
        <v>5.6312108736429493E-2</v>
      </c>
      <c r="AJ40" s="83">
        <v>1000</v>
      </c>
      <c r="AK40" s="186">
        <f t="shared" si="106"/>
        <v>19758.169999999998</v>
      </c>
      <c r="AL40" s="190">
        <f t="shared" si="107"/>
        <v>5.3310104343867237E-2</v>
      </c>
      <c r="AM40" s="181">
        <f t="shared" si="108"/>
        <v>12186</v>
      </c>
      <c r="AN40" s="192">
        <f t="shared" si="109"/>
        <v>5.8181669438215122E-2</v>
      </c>
    </row>
    <row r="41" spans="2:40" outlineLevel="1" x14ac:dyDescent="0.25">
      <c r="B41" s="52" t="s">
        <v>286</v>
      </c>
      <c r="C41" s="64" t="s">
        <v>21</v>
      </c>
      <c r="D41" s="83">
        <v>0</v>
      </c>
      <c r="E41" s="83">
        <v>0</v>
      </c>
      <c r="F41" s="83">
        <v>0</v>
      </c>
      <c r="G41" s="187">
        <f t="shared" si="92"/>
        <v>0</v>
      </c>
      <c r="H41" s="191">
        <f t="shared" si="93"/>
        <v>0</v>
      </c>
      <c r="I41" s="83">
        <v>0</v>
      </c>
      <c r="J41" s="187">
        <f t="shared" si="2"/>
        <v>0</v>
      </c>
      <c r="K41" s="191">
        <f t="shared" si="3"/>
        <v>0</v>
      </c>
      <c r="L41" s="83">
        <v>0</v>
      </c>
      <c r="M41" s="187">
        <f t="shared" si="4"/>
        <v>0</v>
      </c>
      <c r="N41" s="191">
        <f t="shared" si="5"/>
        <v>0</v>
      </c>
      <c r="O41" s="85"/>
      <c r="P41" s="152"/>
      <c r="Q41" s="152"/>
      <c r="R41" s="85"/>
      <c r="S41" s="186">
        <f t="shared" si="94"/>
        <v>0</v>
      </c>
      <c r="T41" s="191">
        <f t="shared" si="95"/>
        <v>0</v>
      </c>
      <c r="U41" s="181">
        <f t="shared" si="96"/>
        <v>0</v>
      </c>
      <c r="V41" s="192">
        <f t="shared" si="97"/>
        <v>0</v>
      </c>
      <c r="X41" s="85">
        <v>45000</v>
      </c>
      <c r="Y41" s="186">
        <f t="shared" si="98"/>
        <v>45000</v>
      </c>
      <c r="Z41" s="191">
        <f t="shared" si="99"/>
        <v>0</v>
      </c>
      <c r="AA41" s="85">
        <v>2000</v>
      </c>
      <c r="AB41" s="187">
        <f t="shared" si="100"/>
        <v>47000</v>
      </c>
      <c r="AC41" s="191">
        <f t="shared" si="101"/>
        <v>4.4444444444444446E-2</v>
      </c>
      <c r="AD41" s="85">
        <v>2000</v>
      </c>
      <c r="AE41" s="187">
        <f t="shared" si="102"/>
        <v>49000</v>
      </c>
      <c r="AF41" s="191">
        <f t="shared" si="103"/>
        <v>4.2553191489361701E-2</v>
      </c>
      <c r="AG41" s="85">
        <v>2000</v>
      </c>
      <c r="AH41" s="187">
        <f t="shared" si="104"/>
        <v>51000</v>
      </c>
      <c r="AI41" s="191">
        <f t="shared" si="105"/>
        <v>4.0816326530612242E-2</v>
      </c>
      <c r="AJ41" s="83">
        <v>2000</v>
      </c>
      <c r="AK41" s="187">
        <f t="shared" si="106"/>
        <v>53000</v>
      </c>
      <c r="AL41" s="191">
        <f t="shared" si="107"/>
        <v>3.9215686274509803E-2</v>
      </c>
      <c r="AM41" s="181">
        <f t="shared" si="108"/>
        <v>53000</v>
      </c>
      <c r="AN41" s="192">
        <f t="shared" si="109"/>
        <v>4.1755588613110017E-2</v>
      </c>
    </row>
    <row r="42" spans="2:40" outlineLevel="1" x14ac:dyDescent="0.25">
      <c r="B42" s="52" t="s">
        <v>287</v>
      </c>
      <c r="C42" s="64" t="s">
        <v>21</v>
      </c>
      <c r="D42" s="83">
        <v>0</v>
      </c>
      <c r="E42" s="83">
        <v>0</v>
      </c>
      <c r="F42" s="83">
        <v>0</v>
      </c>
      <c r="G42" s="187">
        <f t="shared" ref="G42" si="110">E42+F42</f>
        <v>0</v>
      </c>
      <c r="H42" s="191">
        <f t="shared" ref="H42" si="111">IFERROR((G42-E42)/E42,0)</f>
        <v>0</v>
      </c>
      <c r="I42" s="83">
        <v>0</v>
      </c>
      <c r="J42" s="187">
        <f t="shared" ref="J42" si="112">G42+I42</f>
        <v>0</v>
      </c>
      <c r="K42" s="191">
        <f t="shared" ref="K42" si="113">IFERROR((J42-G42)/G42,0)</f>
        <v>0</v>
      </c>
      <c r="L42" s="83">
        <v>0</v>
      </c>
      <c r="M42" s="187">
        <f t="shared" ref="M42" si="114">J42+L42</f>
        <v>0</v>
      </c>
      <c r="N42" s="191">
        <f t="shared" ref="N42" si="115">IFERROR((M42-J42)/J42,0)</f>
        <v>0</v>
      </c>
      <c r="O42" s="85"/>
      <c r="P42" s="152"/>
      <c r="Q42" s="152"/>
      <c r="R42" s="85"/>
      <c r="S42" s="186">
        <f t="shared" ref="S42" si="116">M42+R42</f>
        <v>0</v>
      </c>
      <c r="T42" s="191">
        <f t="shared" ref="T42" si="117">IFERROR((S42-M42)/M42,0)</f>
        <v>0</v>
      </c>
      <c r="U42" s="181">
        <f t="shared" ref="U42" si="118">D42+F42+I42+L42+R42</f>
        <v>0</v>
      </c>
      <c r="V42" s="192">
        <f t="shared" si="97"/>
        <v>0</v>
      </c>
      <c r="X42" s="85">
        <v>45000</v>
      </c>
      <c r="Y42" s="186">
        <f t="shared" ref="Y42" si="119">S42+X42</f>
        <v>45000</v>
      </c>
      <c r="Z42" s="191">
        <f t="shared" ref="Z42" si="120">IFERROR((Y42-S42)/S42,0)</f>
        <v>0</v>
      </c>
      <c r="AA42" s="85">
        <v>2000</v>
      </c>
      <c r="AB42" s="187">
        <f t="shared" ref="AB42" si="121">Y42+AA42</f>
        <v>47000</v>
      </c>
      <c r="AC42" s="191">
        <f t="shared" ref="AC42" si="122">IFERROR((AB42-Y42)/Y42,0)</f>
        <v>4.4444444444444446E-2</v>
      </c>
      <c r="AD42" s="85">
        <v>2000</v>
      </c>
      <c r="AE42" s="187">
        <f t="shared" ref="AE42" si="123">AB42+AD42</f>
        <v>49000</v>
      </c>
      <c r="AF42" s="191">
        <f t="shared" ref="AF42" si="124">IFERROR((AE42-AB42)/AB42,0)</f>
        <v>4.2553191489361701E-2</v>
      </c>
      <c r="AG42" s="85">
        <v>2000</v>
      </c>
      <c r="AH42" s="187">
        <f t="shared" ref="AH42" si="125">AE42+AG42</f>
        <v>51000</v>
      </c>
      <c r="AI42" s="191">
        <f t="shared" ref="AI42" si="126">IFERROR((AH42-AE42)/AE42,0)</f>
        <v>4.0816326530612242E-2</v>
      </c>
      <c r="AJ42" s="83">
        <v>2000</v>
      </c>
      <c r="AK42" s="187">
        <f t="shared" ref="AK42" si="127">AH42+AJ42</f>
        <v>53000</v>
      </c>
      <c r="AL42" s="191">
        <f t="shared" ref="AL42" si="128">IFERROR((AK42-AH42)/AH42,0)</f>
        <v>3.9215686274509803E-2</v>
      </c>
      <c r="AM42" s="181">
        <f t="shared" ref="AM42" si="129">X42+AA42+AD42+AG42+AJ42</f>
        <v>53000</v>
      </c>
      <c r="AN42" s="192">
        <f t="shared" ref="AN42" si="130">IFERROR((AK42/Y42)^(1/4)-1,0)</f>
        <v>4.1755588613110017E-2</v>
      </c>
    </row>
    <row r="43" spans="2:40" outlineLevel="1" x14ac:dyDescent="0.25">
      <c r="B43" s="52" t="s">
        <v>288</v>
      </c>
      <c r="C43" s="64" t="s">
        <v>21</v>
      </c>
      <c r="D43" s="83">
        <v>0</v>
      </c>
      <c r="E43" s="83">
        <v>0</v>
      </c>
      <c r="F43" s="83">
        <v>0</v>
      </c>
      <c r="G43" s="187">
        <f t="shared" si="92"/>
        <v>0</v>
      </c>
      <c r="H43" s="191">
        <f t="shared" si="93"/>
        <v>0</v>
      </c>
      <c r="I43" s="83">
        <v>0</v>
      </c>
      <c r="J43" s="187">
        <f t="shared" si="2"/>
        <v>0</v>
      </c>
      <c r="K43" s="191">
        <f t="shared" si="3"/>
        <v>0</v>
      </c>
      <c r="L43" s="83">
        <v>0</v>
      </c>
      <c r="M43" s="187">
        <f t="shared" si="4"/>
        <v>0</v>
      </c>
      <c r="N43" s="191">
        <f t="shared" si="5"/>
        <v>0</v>
      </c>
      <c r="O43" s="85"/>
      <c r="P43" s="152"/>
      <c r="Q43" s="152"/>
      <c r="R43" s="85"/>
      <c r="S43" s="186">
        <f t="shared" si="94"/>
        <v>0</v>
      </c>
      <c r="T43" s="191">
        <f t="shared" si="95"/>
        <v>0</v>
      </c>
      <c r="U43" s="181">
        <f t="shared" si="96"/>
        <v>0</v>
      </c>
      <c r="V43" s="192">
        <f t="shared" si="97"/>
        <v>0</v>
      </c>
      <c r="X43" s="85">
        <v>18000</v>
      </c>
      <c r="Y43" s="186">
        <f t="shared" si="98"/>
        <v>18000</v>
      </c>
      <c r="Z43" s="191">
        <f t="shared" si="99"/>
        <v>0</v>
      </c>
      <c r="AA43" s="85">
        <v>2000</v>
      </c>
      <c r="AB43" s="187">
        <f t="shared" si="100"/>
        <v>20000</v>
      </c>
      <c r="AC43" s="191">
        <f t="shared" si="101"/>
        <v>0.1111111111111111</v>
      </c>
      <c r="AD43" s="85">
        <v>4000</v>
      </c>
      <c r="AE43" s="187">
        <f t="shared" si="102"/>
        <v>24000</v>
      </c>
      <c r="AF43" s="191">
        <f t="shared" si="103"/>
        <v>0.2</v>
      </c>
      <c r="AG43" s="85">
        <v>2000</v>
      </c>
      <c r="AH43" s="187">
        <f t="shared" si="104"/>
        <v>26000</v>
      </c>
      <c r="AI43" s="191">
        <f t="shared" si="105"/>
        <v>8.3333333333333329E-2</v>
      </c>
      <c r="AJ43" s="83">
        <v>2000</v>
      </c>
      <c r="AK43" s="187">
        <f t="shared" si="106"/>
        <v>28000</v>
      </c>
      <c r="AL43" s="191">
        <f t="shared" si="107"/>
        <v>7.6923076923076927E-2</v>
      </c>
      <c r="AM43" s="181">
        <f t="shared" si="108"/>
        <v>28000</v>
      </c>
      <c r="AN43" s="192">
        <f t="shared" si="109"/>
        <v>0.11678965294483601</v>
      </c>
    </row>
    <row r="44" spans="2:40" outlineLevel="1" x14ac:dyDescent="0.25">
      <c r="B44" s="52" t="s">
        <v>289</v>
      </c>
      <c r="C44" s="64" t="s">
        <v>21</v>
      </c>
      <c r="D44" s="83">
        <v>0</v>
      </c>
      <c r="E44" s="83">
        <v>0</v>
      </c>
      <c r="F44" s="83">
        <v>0</v>
      </c>
      <c r="G44" s="187">
        <f t="shared" si="92"/>
        <v>0</v>
      </c>
      <c r="H44" s="191">
        <f t="shared" si="93"/>
        <v>0</v>
      </c>
      <c r="I44" s="83">
        <v>0</v>
      </c>
      <c r="J44" s="187">
        <f t="shared" si="2"/>
        <v>0</v>
      </c>
      <c r="K44" s="191">
        <f t="shared" si="3"/>
        <v>0</v>
      </c>
      <c r="L44" s="83">
        <v>0</v>
      </c>
      <c r="M44" s="187">
        <f t="shared" si="4"/>
        <v>0</v>
      </c>
      <c r="N44" s="191">
        <f t="shared" si="5"/>
        <v>0</v>
      </c>
      <c r="O44" s="85"/>
      <c r="P44" s="152"/>
      <c r="Q44" s="152"/>
      <c r="R44" s="85">
        <v>5218.25</v>
      </c>
      <c r="S44" s="186">
        <f t="shared" si="94"/>
        <v>5218.25</v>
      </c>
      <c r="T44" s="191">
        <f t="shared" si="95"/>
        <v>0</v>
      </c>
      <c r="U44" s="181">
        <f t="shared" si="96"/>
        <v>5218.25</v>
      </c>
      <c r="V44" s="192">
        <f t="shared" si="97"/>
        <v>0</v>
      </c>
      <c r="X44" s="85">
        <v>47100</v>
      </c>
      <c r="Y44" s="186">
        <f t="shared" si="98"/>
        <v>52318.25</v>
      </c>
      <c r="Z44" s="191">
        <f t="shared" si="99"/>
        <v>9.0260144684520665</v>
      </c>
      <c r="AA44" s="85">
        <v>2000</v>
      </c>
      <c r="AB44" s="187">
        <f t="shared" si="100"/>
        <v>54318.25</v>
      </c>
      <c r="AC44" s="191">
        <f t="shared" si="101"/>
        <v>3.8227578330697225E-2</v>
      </c>
      <c r="AD44" s="85">
        <v>2000</v>
      </c>
      <c r="AE44" s="187">
        <f t="shared" si="102"/>
        <v>56318.25</v>
      </c>
      <c r="AF44" s="191">
        <f t="shared" si="103"/>
        <v>3.6820037464388118E-2</v>
      </c>
      <c r="AG44" s="85">
        <v>2000</v>
      </c>
      <c r="AH44" s="187">
        <f t="shared" si="104"/>
        <v>58318.25</v>
      </c>
      <c r="AI44" s="191">
        <f t="shared" si="105"/>
        <v>3.5512467095479706E-2</v>
      </c>
      <c r="AJ44" s="83">
        <v>2000</v>
      </c>
      <c r="AK44" s="187">
        <f t="shared" si="106"/>
        <v>60318.25</v>
      </c>
      <c r="AL44" s="191">
        <f t="shared" si="107"/>
        <v>3.4294581884744484E-2</v>
      </c>
      <c r="AM44" s="181">
        <f t="shared" si="108"/>
        <v>55100</v>
      </c>
      <c r="AN44" s="192">
        <f t="shared" si="109"/>
        <v>3.6212629067804869E-2</v>
      </c>
    </row>
    <row r="45" spans="2:40" outlineLevel="1" x14ac:dyDescent="0.25">
      <c r="B45" s="52" t="s">
        <v>290</v>
      </c>
      <c r="C45" s="64" t="s">
        <v>21</v>
      </c>
      <c r="D45" s="83">
        <v>0</v>
      </c>
      <c r="E45" s="83">
        <v>0</v>
      </c>
      <c r="F45" s="83">
        <v>0</v>
      </c>
      <c r="G45" s="187">
        <f t="shared" ref="G45" si="131">E45+F45</f>
        <v>0</v>
      </c>
      <c r="H45" s="191">
        <f t="shared" ref="H45" si="132">IFERROR((G45-E45)/E45,0)</f>
        <v>0</v>
      </c>
      <c r="I45" s="83">
        <v>0</v>
      </c>
      <c r="J45" s="187">
        <f t="shared" ref="J45" si="133">G45+I45</f>
        <v>0</v>
      </c>
      <c r="K45" s="191">
        <f t="shared" ref="K45" si="134">IFERROR((J45-G45)/G45,0)</f>
        <v>0</v>
      </c>
      <c r="L45" s="83">
        <v>0</v>
      </c>
      <c r="M45" s="187">
        <f t="shared" ref="M45" si="135">J45+L45</f>
        <v>0</v>
      </c>
      <c r="N45" s="191">
        <f t="shared" ref="N45" si="136">IFERROR((M45-J45)/J45,0)</f>
        <v>0</v>
      </c>
      <c r="O45" s="85"/>
      <c r="P45" s="152"/>
      <c r="Q45" s="152"/>
      <c r="R45" s="85"/>
      <c r="S45" s="186">
        <f t="shared" ref="S45" si="137">M45+R45</f>
        <v>0</v>
      </c>
      <c r="T45" s="191">
        <f t="shared" ref="T45" si="138">IFERROR((S45-M45)/M45,0)</f>
        <v>0</v>
      </c>
      <c r="U45" s="181">
        <f t="shared" ref="U45" si="139">D45+F45+I45+L45+R45</f>
        <v>0</v>
      </c>
      <c r="V45" s="192">
        <f t="shared" si="97"/>
        <v>0</v>
      </c>
      <c r="X45" s="85">
        <v>50000</v>
      </c>
      <c r="Y45" s="186">
        <f t="shared" ref="Y45" si="140">S45+X45</f>
        <v>50000</v>
      </c>
      <c r="Z45" s="191">
        <f t="shared" ref="Z45" si="141">IFERROR((Y45-S45)/S45,0)</f>
        <v>0</v>
      </c>
      <c r="AA45" s="85">
        <v>2000</v>
      </c>
      <c r="AB45" s="187">
        <f t="shared" ref="AB45" si="142">Y45+AA45</f>
        <v>52000</v>
      </c>
      <c r="AC45" s="191">
        <f t="shared" ref="AC45" si="143">IFERROR((AB45-Y45)/Y45,0)</f>
        <v>0.04</v>
      </c>
      <c r="AD45" s="85">
        <v>2000</v>
      </c>
      <c r="AE45" s="187">
        <f t="shared" ref="AE45" si="144">AB45+AD45</f>
        <v>54000</v>
      </c>
      <c r="AF45" s="191">
        <f t="shared" ref="AF45" si="145">IFERROR((AE45-AB45)/AB45,0)</f>
        <v>3.8461538461538464E-2</v>
      </c>
      <c r="AG45" s="85">
        <v>2000</v>
      </c>
      <c r="AH45" s="187">
        <f t="shared" ref="AH45" si="146">AE45+AG45</f>
        <v>56000</v>
      </c>
      <c r="AI45" s="191">
        <f t="shared" ref="AI45" si="147">IFERROR((AH45-AE45)/AE45,0)</f>
        <v>3.7037037037037035E-2</v>
      </c>
      <c r="AJ45" s="83">
        <v>2000</v>
      </c>
      <c r="AK45" s="187">
        <f t="shared" ref="AK45" si="148">AH45+AJ45</f>
        <v>58000</v>
      </c>
      <c r="AL45" s="191">
        <f t="shared" ref="AL45" si="149">IFERROR((AK45-AH45)/AH45,0)</f>
        <v>3.5714285714285712E-2</v>
      </c>
      <c r="AM45" s="181">
        <f t="shared" ref="AM45" si="150">X45+AA45+AD45+AG45+AJ45</f>
        <v>58000</v>
      </c>
      <c r="AN45" s="192">
        <f t="shared" ref="AN45" si="151">IFERROR((AK45/Y45)^(1/4)-1,0)</f>
        <v>3.7801985653766579E-2</v>
      </c>
    </row>
    <row r="46" spans="2:40" outlineLevel="1" x14ac:dyDescent="0.25">
      <c r="B46" s="52" t="s">
        <v>291</v>
      </c>
      <c r="C46" s="64" t="s">
        <v>21</v>
      </c>
      <c r="D46" s="83">
        <v>0</v>
      </c>
      <c r="E46" s="83">
        <v>0</v>
      </c>
      <c r="F46" s="83">
        <v>0</v>
      </c>
      <c r="G46" s="187">
        <f t="shared" si="92"/>
        <v>0</v>
      </c>
      <c r="H46" s="191">
        <f t="shared" si="93"/>
        <v>0</v>
      </c>
      <c r="I46" s="83">
        <v>0</v>
      </c>
      <c r="J46" s="187">
        <f t="shared" si="2"/>
        <v>0</v>
      </c>
      <c r="K46" s="191">
        <f t="shared" si="3"/>
        <v>0</v>
      </c>
      <c r="L46" s="83">
        <v>17090.5</v>
      </c>
      <c r="M46" s="187">
        <f t="shared" si="4"/>
        <v>17090.5</v>
      </c>
      <c r="N46" s="191">
        <f t="shared" si="5"/>
        <v>0</v>
      </c>
      <c r="O46" s="85">
        <v>13250.5</v>
      </c>
      <c r="P46" s="152"/>
      <c r="Q46" s="152"/>
      <c r="R46" s="85">
        <f>O46</f>
        <v>13250.5</v>
      </c>
      <c r="S46" s="186">
        <f t="shared" si="94"/>
        <v>30341</v>
      </c>
      <c r="T46" s="191">
        <f t="shared" si="95"/>
        <v>0.77531377080834385</v>
      </c>
      <c r="U46" s="181">
        <f t="shared" si="96"/>
        <v>30341</v>
      </c>
      <c r="V46" s="192">
        <f t="shared" si="97"/>
        <v>0</v>
      </c>
      <c r="X46" s="85">
        <v>5589</v>
      </c>
      <c r="Y46" s="186">
        <f t="shared" si="98"/>
        <v>35930</v>
      </c>
      <c r="Z46" s="191">
        <f t="shared" si="99"/>
        <v>0.1842061896443756</v>
      </c>
      <c r="AA46" s="85"/>
      <c r="AB46" s="187">
        <f t="shared" si="100"/>
        <v>35930</v>
      </c>
      <c r="AC46" s="191">
        <f t="shared" si="101"/>
        <v>0</v>
      </c>
      <c r="AD46" s="85"/>
      <c r="AE46" s="187">
        <f t="shared" si="102"/>
        <v>35930</v>
      </c>
      <c r="AF46" s="191">
        <f t="shared" si="103"/>
        <v>0</v>
      </c>
      <c r="AG46" s="85"/>
      <c r="AH46" s="187">
        <f t="shared" si="104"/>
        <v>35930</v>
      </c>
      <c r="AI46" s="191">
        <f t="shared" si="105"/>
        <v>0</v>
      </c>
      <c r="AJ46" s="83"/>
      <c r="AK46" s="187">
        <f t="shared" si="106"/>
        <v>35930</v>
      </c>
      <c r="AL46" s="191">
        <f t="shared" si="107"/>
        <v>0</v>
      </c>
      <c r="AM46" s="181">
        <f t="shared" si="108"/>
        <v>5589</v>
      </c>
      <c r="AN46" s="192">
        <f t="shared" si="109"/>
        <v>0</v>
      </c>
    </row>
    <row r="47" spans="2:40" outlineLevel="1" x14ac:dyDescent="0.25">
      <c r="B47" s="52" t="s">
        <v>307</v>
      </c>
      <c r="C47" s="64" t="s">
        <v>21</v>
      </c>
      <c r="D47" s="83"/>
      <c r="E47" s="83"/>
      <c r="F47" s="83"/>
      <c r="G47" s="187"/>
      <c r="H47" s="191">
        <f t="shared" si="93"/>
        <v>0</v>
      </c>
      <c r="I47" s="83"/>
      <c r="J47" s="187"/>
      <c r="K47" s="191">
        <f t="shared" si="3"/>
        <v>0</v>
      </c>
      <c r="L47" s="83"/>
      <c r="M47" s="187"/>
      <c r="N47" s="191">
        <f t="shared" si="5"/>
        <v>0</v>
      </c>
      <c r="O47" s="85"/>
      <c r="P47" s="152"/>
      <c r="Q47" s="152"/>
      <c r="R47" s="85"/>
      <c r="S47" s="186">
        <f t="shared" si="94"/>
        <v>0</v>
      </c>
      <c r="T47" s="191">
        <f t="shared" si="95"/>
        <v>0</v>
      </c>
      <c r="U47" s="181">
        <f t="shared" si="96"/>
        <v>0</v>
      </c>
      <c r="V47" s="192">
        <f t="shared" si="97"/>
        <v>0</v>
      </c>
      <c r="X47" s="85">
        <v>5500</v>
      </c>
      <c r="Y47" s="186">
        <f t="shared" si="98"/>
        <v>5500</v>
      </c>
      <c r="Z47" s="191">
        <f t="shared" si="99"/>
        <v>0</v>
      </c>
      <c r="AA47" s="85">
        <v>3500</v>
      </c>
      <c r="AB47" s="187">
        <f t="shared" si="100"/>
        <v>9000</v>
      </c>
      <c r="AC47" s="191">
        <f t="shared" si="101"/>
        <v>0.63636363636363635</v>
      </c>
      <c r="AD47" s="85">
        <v>3000</v>
      </c>
      <c r="AE47" s="187">
        <f t="shared" si="102"/>
        <v>12000</v>
      </c>
      <c r="AF47" s="191">
        <f t="shared" si="103"/>
        <v>0.33333333333333331</v>
      </c>
      <c r="AG47" s="85">
        <v>1000</v>
      </c>
      <c r="AH47" s="187">
        <f t="shared" si="104"/>
        <v>13000</v>
      </c>
      <c r="AI47" s="191">
        <f t="shared" si="105"/>
        <v>8.3333333333333329E-2</v>
      </c>
      <c r="AJ47" s="83">
        <v>1000</v>
      </c>
      <c r="AK47" s="187">
        <f t="shared" si="106"/>
        <v>14000</v>
      </c>
      <c r="AL47" s="191">
        <f t="shared" si="107"/>
        <v>7.6923076923076927E-2</v>
      </c>
      <c r="AM47" s="181">
        <f t="shared" si="108"/>
        <v>14000</v>
      </c>
      <c r="AN47" s="192">
        <f t="shared" si="109"/>
        <v>0.2631104743588073</v>
      </c>
    </row>
    <row r="48" spans="2:40" outlineLevel="1" x14ac:dyDescent="0.25">
      <c r="B48" s="52" t="s">
        <v>304</v>
      </c>
      <c r="C48" s="64" t="s">
        <v>21</v>
      </c>
      <c r="D48" s="83"/>
      <c r="E48" s="83"/>
      <c r="F48" s="83"/>
      <c r="G48" s="187"/>
      <c r="H48" s="191">
        <f t="shared" si="93"/>
        <v>0</v>
      </c>
      <c r="I48" s="83"/>
      <c r="J48" s="187"/>
      <c r="K48" s="191">
        <f t="shared" si="3"/>
        <v>0</v>
      </c>
      <c r="L48" s="83"/>
      <c r="M48" s="187"/>
      <c r="N48" s="191">
        <f t="shared" si="5"/>
        <v>0</v>
      </c>
      <c r="O48" s="85"/>
      <c r="P48" s="152"/>
      <c r="Q48" s="152"/>
      <c r="R48" s="85"/>
      <c r="S48" s="186">
        <f t="shared" si="94"/>
        <v>0</v>
      </c>
      <c r="T48" s="191">
        <f t="shared" si="95"/>
        <v>0</v>
      </c>
      <c r="U48" s="181">
        <f t="shared" si="96"/>
        <v>0</v>
      </c>
      <c r="V48" s="192">
        <f t="shared" si="97"/>
        <v>0</v>
      </c>
      <c r="X48" s="85">
        <v>6000</v>
      </c>
      <c r="Y48" s="186">
        <f t="shared" si="98"/>
        <v>6000</v>
      </c>
      <c r="Z48" s="191">
        <f t="shared" si="99"/>
        <v>0</v>
      </c>
      <c r="AA48" s="85">
        <v>6000</v>
      </c>
      <c r="AB48" s="187">
        <f t="shared" si="100"/>
        <v>12000</v>
      </c>
      <c r="AC48" s="191">
        <f t="shared" si="101"/>
        <v>1</v>
      </c>
      <c r="AD48" s="85">
        <v>3000</v>
      </c>
      <c r="AE48" s="187">
        <f t="shared" si="102"/>
        <v>15000</v>
      </c>
      <c r="AF48" s="191">
        <f t="shared" si="103"/>
        <v>0.25</v>
      </c>
      <c r="AG48" s="85">
        <v>3000</v>
      </c>
      <c r="AH48" s="187">
        <f t="shared" si="104"/>
        <v>18000</v>
      </c>
      <c r="AI48" s="191">
        <f t="shared" si="105"/>
        <v>0.2</v>
      </c>
      <c r="AJ48" s="83">
        <v>3000</v>
      </c>
      <c r="AK48" s="187">
        <f t="shared" si="106"/>
        <v>21000</v>
      </c>
      <c r="AL48" s="191">
        <f t="shared" si="107"/>
        <v>0.16666666666666666</v>
      </c>
      <c r="AM48" s="181">
        <f t="shared" si="108"/>
        <v>21000</v>
      </c>
      <c r="AN48" s="192">
        <f t="shared" si="109"/>
        <v>0.36778239986738059</v>
      </c>
    </row>
    <row r="49" spans="2:40" outlineLevel="1" x14ac:dyDescent="0.25">
      <c r="B49" s="52" t="s">
        <v>305</v>
      </c>
      <c r="C49" s="64" t="s">
        <v>21</v>
      </c>
      <c r="D49" s="83"/>
      <c r="E49" s="83"/>
      <c r="F49" s="83"/>
      <c r="G49" s="187"/>
      <c r="H49" s="191">
        <f t="shared" si="93"/>
        <v>0</v>
      </c>
      <c r="I49" s="83"/>
      <c r="J49" s="187"/>
      <c r="K49" s="191">
        <f t="shared" si="3"/>
        <v>0</v>
      </c>
      <c r="L49" s="83"/>
      <c r="M49" s="187"/>
      <c r="N49" s="191">
        <f t="shared" si="5"/>
        <v>0</v>
      </c>
      <c r="O49" s="85"/>
      <c r="P49" s="152"/>
      <c r="Q49" s="152"/>
      <c r="R49" s="85"/>
      <c r="S49" s="186">
        <f t="shared" si="94"/>
        <v>0</v>
      </c>
      <c r="T49" s="191">
        <f t="shared" si="95"/>
        <v>0</v>
      </c>
      <c r="U49" s="181">
        <f t="shared" si="96"/>
        <v>0</v>
      </c>
      <c r="V49" s="192">
        <f t="shared" si="97"/>
        <v>0</v>
      </c>
      <c r="X49" s="85">
        <v>7000</v>
      </c>
      <c r="Y49" s="186">
        <f t="shared" si="98"/>
        <v>7000</v>
      </c>
      <c r="Z49" s="191">
        <f t="shared" si="99"/>
        <v>0</v>
      </c>
      <c r="AA49" s="85">
        <v>5000</v>
      </c>
      <c r="AB49" s="187">
        <f t="shared" si="100"/>
        <v>12000</v>
      </c>
      <c r="AC49" s="191">
        <f t="shared" si="101"/>
        <v>0.7142857142857143</v>
      </c>
      <c r="AD49" s="85">
        <v>2000</v>
      </c>
      <c r="AE49" s="187">
        <f t="shared" si="102"/>
        <v>14000</v>
      </c>
      <c r="AF49" s="191">
        <f t="shared" si="103"/>
        <v>0.16666666666666666</v>
      </c>
      <c r="AG49" s="85">
        <v>2000</v>
      </c>
      <c r="AH49" s="187">
        <f t="shared" si="104"/>
        <v>16000</v>
      </c>
      <c r="AI49" s="191">
        <f t="shared" si="105"/>
        <v>0.14285714285714285</v>
      </c>
      <c r="AJ49" s="83">
        <v>1000</v>
      </c>
      <c r="AK49" s="187">
        <f t="shared" si="106"/>
        <v>17000</v>
      </c>
      <c r="AL49" s="191">
        <f t="shared" si="107"/>
        <v>6.25E-2</v>
      </c>
      <c r="AM49" s="181">
        <f t="shared" si="108"/>
        <v>17000</v>
      </c>
      <c r="AN49" s="192">
        <f t="shared" si="109"/>
        <v>0.24835389411334763</v>
      </c>
    </row>
    <row r="50" spans="2:40" outlineLevel="1" x14ac:dyDescent="0.25">
      <c r="B50" s="52" t="s">
        <v>306</v>
      </c>
      <c r="C50" s="64" t="s">
        <v>21</v>
      </c>
      <c r="D50" s="83"/>
      <c r="E50" s="83"/>
      <c r="F50" s="83"/>
      <c r="G50" s="187"/>
      <c r="H50" s="191">
        <f t="shared" si="93"/>
        <v>0</v>
      </c>
      <c r="I50" s="83"/>
      <c r="J50" s="187"/>
      <c r="K50" s="191">
        <f t="shared" si="3"/>
        <v>0</v>
      </c>
      <c r="L50" s="83"/>
      <c r="M50" s="187"/>
      <c r="N50" s="191">
        <f t="shared" si="5"/>
        <v>0</v>
      </c>
      <c r="O50" s="85"/>
      <c r="P50" s="152"/>
      <c r="Q50" s="152"/>
      <c r="R50" s="85"/>
      <c r="S50" s="186">
        <f t="shared" si="94"/>
        <v>0</v>
      </c>
      <c r="T50" s="191">
        <f t="shared" si="95"/>
        <v>0</v>
      </c>
      <c r="U50" s="181">
        <f t="shared" si="96"/>
        <v>0</v>
      </c>
      <c r="V50" s="192">
        <f t="shared" si="97"/>
        <v>0</v>
      </c>
      <c r="X50" s="85">
        <v>3000</v>
      </c>
      <c r="Y50" s="186">
        <f t="shared" si="98"/>
        <v>3000</v>
      </c>
      <c r="Z50" s="191">
        <f t="shared" si="99"/>
        <v>0</v>
      </c>
      <c r="AA50" s="85">
        <v>3000</v>
      </c>
      <c r="AB50" s="187">
        <f t="shared" si="100"/>
        <v>6000</v>
      </c>
      <c r="AC50" s="191">
        <f t="shared" si="101"/>
        <v>1</v>
      </c>
      <c r="AD50" s="85">
        <v>2000</v>
      </c>
      <c r="AE50" s="187">
        <f t="shared" si="102"/>
        <v>8000</v>
      </c>
      <c r="AF50" s="191">
        <f t="shared" si="103"/>
        <v>0.33333333333333331</v>
      </c>
      <c r="AG50" s="83">
        <v>1500</v>
      </c>
      <c r="AH50" s="187">
        <f t="shared" si="104"/>
        <v>9500</v>
      </c>
      <c r="AI50" s="191">
        <f t="shared" si="105"/>
        <v>0.1875</v>
      </c>
      <c r="AJ50" s="83">
        <v>1000</v>
      </c>
      <c r="AK50" s="187">
        <f t="shared" si="106"/>
        <v>10500</v>
      </c>
      <c r="AL50" s="191">
        <f t="shared" si="107"/>
        <v>0.10526315789473684</v>
      </c>
      <c r="AM50" s="181">
        <f t="shared" si="108"/>
        <v>10500</v>
      </c>
      <c r="AN50" s="192">
        <f t="shared" si="109"/>
        <v>0.36778239986738059</v>
      </c>
    </row>
    <row r="51" spans="2:40" outlineLevel="1" x14ac:dyDescent="0.25">
      <c r="B51" s="52" t="s">
        <v>308</v>
      </c>
      <c r="C51" s="64" t="s">
        <v>21</v>
      </c>
      <c r="D51" s="83"/>
      <c r="E51" s="83"/>
      <c r="F51" s="83"/>
      <c r="G51" s="187"/>
      <c r="H51" s="191">
        <f t="shared" si="93"/>
        <v>0</v>
      </c>
      <c r="I51" s="83"/>
      <c r="J51" s="187"/>
      <c r="K51" s="191">
        <f t="shared" si="3"/>
        <v>0</v>
      </c>
      <c r="L51" s="83"/>
      <c r="M51" s="187"/>
      <c r="N51" s="191">
        <f t="shared" si="5"/>
        <v>0</v>
      </c>
      <c r="O51" s="85"/>
      <c r="P51" s="152"/>
      <c r="Q51" s="152"/>
      <c r="R51" s="85"/>
      <c r="S51" s="186">
        <f t="shared" si="94"/>
        <v>0</v>
      </c>
      <c r="T51" s="191">
        <f t="shared" si="95"/>
        <v>0</v>
      </c>
      <c r="U51" s="181">
        <f t="shared" si="96"/>
        <v>0</v>
      </c>
      <c r="V51" s="192">
        <f t="shared" si="97"/>
        <v>0</v>
      </c>
      <c r="X51" s="85">
        <v>3000</v>
      </c>
      <c r="Y51" s="186">
        <f t="shared" si="98"/>
        <v>3000</v>
      </c>
      <c r="Z51" s="191">
        <f t="shared" si="99"/>
        <v>0</v>
      </c>
      <c r="AA51" s="85">
        <v>3000</v>
      </c>
      <c r="AB51" s="187">
        <f t="shared" si="100"/>
        <v>6000</v>
      </c>
      <c r="AC51" s="191">
        <f t="shared" si="101"/>
        <v>1</v>
      </c>
      <c r="AD51" s="85">
        <v>2500</v>
      </c>
      <c r="AE51" s="187">
        <f t="shared" si="102"/>
        <v>8500</v>
      </c>
      <c r="AF51" s="191">
        <f t="shared" si="103"/>
        <v>0.41666666666666669</v>
      </c>
      <c r="AG51" s="83">
        <v>2000</v>
      </c>
      <c r="AH51" s="187">
        <f t="shared" si="104"/>
        <v>10500</v>
      </c>
      <c r="AI51" s="191">
        <f t="shared" si="105"/>
        <v>0.23529411764705882</v>
      </c>
      <c r="AJ51" s="83">
        <v>1000</v>
      </c>
      <c r="AK51" s="187">
        <f t="shared" si="106"/>
        <v>11500</v>
      </c>
      <c r="AL51" s="191">
        <f t="shared" si="107"/>
        <v>9.5238095238095233E-2</v>
      </c>
      <c r="AM51" s="181">
        <f>X51+AA51+AD51+AG51+AJ51</f>
        <v>11500</v>
      </c>
      <c r="AN51" s="192">
        <f t="shared" si="109"/>
        <v>0.3992462330644746</v>
      </c>
    </row>
    <row r="52" spans="2:40" outlineLevel="1" x14ac:dyDescent="0.25">
      <c r="B52" s="52"/>
      <c r="C52" s="64"/>
      <c r="D52" s="83"/>
      <c r="E52" s="83"/>
      <c r="F52" s="83"/>
      <c r="G52" s="187"/>
      <c r="H52" s="191">
        <f t="shared" si="93"/>
        <v>0</v>
      </c>
      <c r="I52" s="83"/>
      <c r="J52" s="187"/>
      <c r="K52" s="191">
        <f t="shared" si="3"/>
        <v>0</v>
      </c>
      <c r="L52" s="83"/>
      <c r="M52" s="187"/>
      <c r="N52" s="191">
        <f t="shared" si="5"/>
        <v>0</v>
      </c>
      <c r="O52" s="85"/>
      <c r="P52" s="152"/>
      <c r="Q52" s="152"/>
      <c r="R52" s="85"/>
      <c r="S52" s="186">
        <f t="shared" si="94"/>
        <v>0</v>
      </c>
      <c r="T52" s="191">
        <f t="shared" si="95"/>
        <v>0</v>
      </c>
      <c r="U52" s="181">
        <f t="shared" si="96"/>
        <v>0</v>
      </c>
      <c r="V52" s="192">
        <f t="shared" si="97"/>
        <v>0</v>
      </c>
      <c r="X52" s="85"/>
      <c r="Y52" s="186"/>
      <c r="Z52" s="191">
        <f t="shared" si="99"/>
        <v>0</v>
      </c>
      <c r="AA52" s="85"/>
      <c r="AB52" s="187"/>
      <c r="AC52" s="191">
        <f t="shared" si="101"/>
        <v>0</v>
      </c>
      <c r="AD52" s="85"/>
      <c r="AE52" s="187"/>
      <c r="AF52" s="191">
        <f t="shared" si="103"/>
        <v>0</v>
      </c>
      <c r="AG52" s="85"/>
      <c r="AH52" s="187"/>
      <c r="AI52" s="191">
        <f t="shared" si="105"/>
        <v>0</v>
      </c>
      <c r="AJ52" s="83"/>
      <c r="AK52" s="187"/>
      <c r="AL52" s="191">
        <f t="shared" si="107"/>
        <v>0</v>
      </c>
      <c r="AM52" s="181"/>
      <c r="AN52" s="192">
        <f t="shared" si="109"/>
        <v>0</v>
      </c>
    </row>
    <row r="53" spans="2:40" outlineLevel="1" x14ac:dyDescent="0.25">
      <c r="B53" s="349" t="s">
        <v>90</v>
      </c>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1"/>
    </row>
    <row r="54" spans="2:40" outlineLevel="1" x14ac:dyDescent="0.25">
      <c r="B54" s="52" t="s">
        <v>82</v>
      </c>
      <c r="C54" s="49" t="s">
        <v>21</v>
      </c>
      <c r="D54" s="188">
        <f>SUM(D38:D52)</f>
        <v>0</v>
      </c>
      <c r="E54" s="189">
        <f>SUM(E38:E52)</f>
        <v>0</v>
      </c>
      <c r="F54" s="188">
        <f>SUM(F38:F52)</f>
        <v>0</v>
      </c>
      <c r="G54" s="187">
        <f>SUM(G38:G52)</f>
        <v>0</v>
      </c>
      <c r="H54" s="191">
        <f>IFERROR((G54-E54)/E54,0)</f>
        <v>0</v>
      </c>
      <c r="I54" s="188">
        <f>SUM(I38:I52)</f>
        <v>0</v>
      </c>
      <c r="J54" s="187">
        <f>SUM(J38:J52)</f>
        <v>0</v>
      </c>
      <c r="K54" s="191">
        <f t="shared" si="3"/>
        <v>0</v>
      </c>
      <c r="L54" s="188">
        <f>SUM(L38:L52)</f>
        <v>19728.400000000001</v>
      </c>
      <c r="M54" s="187">
        <f>SUM(M38:M52)</f>
        <v>19728.400000000001</v>
      </c>
      <c r="N54" s="191">
        <f t="shared" si="5"/>
        <v>0</v>
      </c>
      <c r="O54" s="188">
        <f>SUM(O38:O52)</f>
        <v>13250.5</v>
      </c>
      <c r="P54" s="152"/>
      <c r="Q54" s="152"/>
      <c r="R54" s="188">
        <f>SUM(R38:R52)</f>
        <v>31679.02</v>
      </c>
      <c r="S54" s="187">
        <f>M54+R54</f>
        <v>51407.42</v>
      </c>
      <c r="T54" s="191">
        <f>IFERROR((S54-M54)/M54,0)</f>
        <v>1.6057571825388777</v>
      </c>
      <c r="U54" s="181">
        <f>D54+F54+I54+L54+R54</f>
        <v>51407.42</v>
      </c>
      <c r="V54" s="192">
        <f>IFERROR((S54/E54)^(1/4)-1,0)</f>
        <v>0</v>
      </c>
      <c r="X54" s="188">
        <f>SUM(X38:X52)</f>
        <v>254650</v>
      </c>
      <c r="Y54" s="187">
        <f>SUM(Y38:Y52)</f>
        <v>306057.42</v>
      </c>
      <c r="Z54" s="191">
        <f>IFERROR((Y54-S54)/S54,0)</f>
        <v>4.9535650690114386</v>
      </c>
      <c r="AA54" s="188">
        <f>SUM(AA38:AA52)</f>
        <v>33000</v>
      </c>
      <c r="AB54" s="187">
        <f>SUM(AB38:AB52)</f>
        <v>339057.42</v>
      </c>
      <c r="AC54" s="191">
        <f t="shared" si="101"/>
        <v>0.10782290460397922</v>
      </c>
      <c r="AD54" s="188">
        <f>SUM(AD38:AD52)</f>
        <v>26500</v>
      </c>
      <c r="AE54" s="187">
        <f>SUM(AE38:AE52)</f>
        <v>365557.42</v>
      </c>
      <c r="AF54" s="191">
        <f t="shared" ref="AF54" si="152">IFERROR((AE54-AB54)/AB54,0)</f>
        <v>7.8157853026782312E-2</v>
      </c>
      <c r="AG54" s="188">
        <f>SUM(AG38:AG52)</f>
        <v>21500</v>
      </c>
      <c r="AH54" s="187">
        <f>SUM(AH38:AH52)</f>
        <v>387057.42</v>
      </c>
      <c r="AI54" s="191">
        <f t="shared" ref="AI54" si="153">IFERROR((AH54-AE54)/AE54,0)</f>
        <v>5.8814289694899373E-2</v>
      </c>
      <c r="AJ54" s="188">
        <f>SUM(AJ38:AJ52)</f>
        <v>19000</v>
      </c>
      <c r="AK54" s="187">
        <f>SUM(AK38:AK52)</f>
        <v>406057.42</v>
      </c>
      <c r="AL54" s="191">
        <f>IFERROR((AK54-AH54)/AH54,0)</f>
        <v>4.90883238977824E-2</v>
      </c>
      <c r="AM54" s="187">
        <f>SUM(AM38:AM52)</f>
        <v>354650</v>
      </c>
      <c r="AN54" s="192">
        <f t="shared" si="109"/>
        <v>7.3238230342264954E-2</v>
      </c>
    </row>
    <row r="56" spans="2:40" ht="16.899999999999999" customHeight="1" x14ac:dyDescent="0.25">
      <c r="B56" s="352" t="s">
        <v>165</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67"/>
    </row>
    <row r="57" spans="2:40" ht="25.5" customHeight="1" outlineLevel="1" x14ac:dyDescent="0.2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row>
    <row r="58" spans="2:40" ht="15" customHeight="1" outlineLevel="1" x14ac:dyDescent="0.25">
      <c r="B58" s="368"/>
      <c r="C58" s="369" t="s">
        <v>20</v>
      </c>
      <c r="D58" s="372" t="s">
        <v>262</v>
      </c>
      <c r="E58" s="373"/>
      <c r="F58" s="373"/>
      <c r="G58" s="373"/>
      <c r="H58" s="373"/>
      <c r="I58" s="373"/>
      <c r="J58" s="373"/>
      <c r="K58" s="373"/>
      <c r="L58" s="373"/>
      <c r="M58" s="373"/>
      <c r="N58" s="373"/>
      <c r="O58" s="373"/>
      <c r="P58" s="373"/>
      <c r="Q58" s="374"/>
      <c r="R58" s="372" t="s">
        <v>260</v>
      </c>
      <c r="S58" s="373"/>
      <c r="T58" s="374"/>
      <c r="U58" s="388" t="str">
        <f xml:space="preserve"> D59&amp;" - "&amp;R59</f>
        <v>2018 - 2022</v>
      </c>
      <c r="V58" s="389"/>
      <c r="X58" s="372" t="s">
        <v>261</v>
      </c>
      <c r="Y58" s="373"/>
      <c r="Z58" s="373"/>
      <c r="AA58" s="373"/>
      <c r="AB58" s="373"/>
      <c r="AC58" s="373"/>
      <c r="AD58" s="373"/>
      <c r="AE58" s="373"/>
      <c r="AF58" s="373"/>
      <c r="AG58" s="373"/>
      <c r="AH58" s="373"/>
      <c r="AI58" s="373"/>
      <c r="AJ58" s="373"/>
      <c r="AK58" s="373"/>
      <c r="AL58" s="373"/>
      <c r="AM58" s="373"/>
      <c r="AN58" s="375"/>
    </row>
    <row r="59" spans="2:40" ht="15" customHeight="1" outlineLevel="1" x14ac:dyDescent="0.25">
      <c r="B59" s="368"/>
      <c r="C59" s="370"/>
      <c r="D59" s="372">
        <f>$C$3-5</f>
        <v>2018</v>
      </c>
      <c r="E59" s="374"/>
      <c r="F59" s="372">
        <f>$C$3-4</f>
        <v>2019</v>
      </c>
      <c r="G59" s="373"/>
      <c r="H59" s="374"/>
      <c r="I59" s="372">
        <f>$C$3-3</f>
        <v>2020</v>
      </c>
      <c r="J59" s="373"/>
      <c r="K59" s="374"/>
      <c r="L59" s="372">
        <f>$C$3-2</f>
        <v>2021</v>
      </c>
      <c r="M59" s="373"/>
      <c r="N59" s="374"/>
      <c r="O59" s="372" t="str">
        <f>$C$3-1&amp;""&amp;" ("&amp;"Σεπτ"&amp;")"</f>
        <v>2022 (Σεπτ)</v>
      </c>
      <c r="P59" s="373"/>
      <c r="Q59" s="374"/>
      <c r="R59" s="372">
        <f>$C$3-1</f>
        <v>2022</v>
      </c>
      <c r="S59" s="373"/>
      <c r="T59" s="374"/>
      <c r="U59" s="390"/>
      <c r="V59" s="391"/>
      <c r="X59" s="372">
        <f>$C$3</f>
        <v>2023</v>
      </c>
      <c r="Y59" s="373"/>
      <c r="Z59" s="374"/>
      <c r="AA59" s="372">
        <f>$C$3+1</f>
        <v>2024</v>
      </c>
      <c r="AB59" s="373"/>
      <c r="AC59" s="374"/>
      <c r="AD59" s="372">
        <f>$C$3+2</f>
        <v>2025</v>
      </c>
      <c r="AE59" s="373"/>
      <c r="AF59" s="374"/>
      <c r="AG59" s="372">
        <f>$C$3+3</f>
        <v>2026</v>
      </c>
      <c r="AH59" s="373"/>
      <c r="AI59" s="374"/>
      <c r="AJ59" s="372">
        <f>$C$3+4</f>
        <v>2027</v>
      </c>
      <c r="AK59" s="373"/>
      <c r="AL59" s="374"/>
      <c r="AM59" s="376" t="str">
        <f>X59&amp;" - "&amp;AJ59</f>
        <v>2023 - 2027</v>
      </c>
      <c r="AN59" s="377"/>
    </row>
    <row r="60" spans="2:40" ht="30" outlineLevel="1" x14ac:dyDescent="0.25">
      <c r="B60" s="368"/>
      <c r="C60" s="371"/>
      <c r="D60" s="67" t="s">
        <v>8</v>
      </c>
      <c r="E60" s="68" t="s">
        <v>9</v>
      </c>
      <c r="F60" s="67" t="s">
        <v>8</v>
      </c>
      <c r="G60" s="9" t="s">
        <v>9</v>
      </c>
      <c r="H60" s="68" t="s">
        <v>81</v>
      </c>
      <c r="I60" s="67" t="s">
        <v>8</v>
      </c>
      <c r="J60" s="9" t="s">
        <v>9</v>
      </c>
      <c r="K60" s="68" t="s">
        <v>81</v>
      </c>
      <c r="L60" s="67" t="s">
        <v>8</v>
      </c>
      <c r="M60" s="9" t="s">
        <v>9</v>
      </c>
      <c r="N60" s="68" t="s">
        <v>81</v>
      </c>
      <c r="O60" s="67" t="s">
        <v>8</v>
      </c>
      <c r="P60" s="9" t="s">
        <v>9</v>
      </c>
      <c r="Q60" s="68" t="s">
        <v>81</v>
      </c>
      <c r="R60" s="67" t="s">
        <v>4</v>
      </c>
      <c r="S60" s="9" t="s">
        <v>5</v>
      </c>
      <c r="T60" s="68" t="s">
        <v>81</v>
      </c>
      <c r="U60" s="9" t="s">
        <v>17</v>
      </c>
      <c r="V60" s="60" t="s">
        <v>83</v>
      </c>
      <c r="X60" s="67" t="s">
        <v>8</v>
      </c>
      <c r="Y60" s="9" t="s">
        <v>9</v>
      </c>
      <c r="Z60" s="68" t="s">
        <v>81</v>
      </c>
      <c r="AA60" s="67" t="s">
        <v>8</v>
      </c>
      <c r="AB60" s="9" t="s">
        <v>9</v>
      </c>
      <c r="AC60" s="68" t="s">
        <v>81</v>
      </c>
      <c r="AD60" s="67" t="s">
        <v>8</v>
      </c>
      <c r="AE60" s="9" t="s">
        <v>9</v>
      </c>
      <c r="AF60" s="68" t="s">
        <v>81</v>
      </c>
      <c r="AG60" s="67" t="s">
        <v>8</v>
      </c>
      <c r="AH60" s="9" t="s">
        <v>9</v>
      </c>
      <c r="AI60" s="68" t="s">
        <v>81</v>
      </c>
      <c r="AJ60" s="67" t="s">
        <v>8</v>
      </c>
      <c r="AK60" s="9" t="s">
        <v>9</v>
      </c>
      <c r="AL60" s="68" t="s">
        <v>81</v>
      </c>
      <c r="AM60" s="9" t="s">
        <v>17</v>
      </c>
      <c r="AN60" s="60" t="s">
        <v>83</v>
      </c>
    </row>
    <row r="61" spans="2:40" outlineLevel="1" x14ac:dyDescent="0.25">
      <c r="B61" s="52" t="s">
        <v>283</v>
      </c>
      <c r="C61" s="64" t="s">
        <v>22</v>
      </c>
      <c r="D61" s="83">
        <v>0</v>
      </c>
      <c r="E61" s="83">
        <v>0</v>
      </c>
      <c r="F61" s="83">
        <v>0</v>
      </c>
      <c r="G61" s="186">
        <f t="shared" ref="G61:G69" si="154">E61+F61</f>
        <v>0</v>
      </c>
      <c r="H61" s="190">
        <f t="shared" ref="H61:H75" si="155">IFERROR((G61-E61)/E61,0)</f>
        <v>0</v>
      </c>
      <c r="I61" s="83">
        <v>0</v>
      </c>
      <c r="J61" s="186">
        <f t="shared" si="2"/>
        <v>0</v>
      </c>
      <c r="K61" s="190">
        <f t="shared" si="3"/>
        <v>0</v>
      </c>
      <c r="L61" s="83">
        <v>33</v>
      </c>
      <c r="M61" s="186">
        <f t="shared" si="4"/>
        <v>33</v>
      </c>
      <c r="N61" s="190">
        <f t="shared" si="5"/>
        <v>0</v>
      </c>
      <c r="O61" s="83"/>
      <c r="P61" s="150"/>
      <c r="Q61" s="152"/>
      <c r="R61" s="83"/>
      <c r="S61" s="186">
        <f t="shared" ref="S61:S75" si="156">M61+R61</f>
        <v>33</v>
      </c>
      <c r="T61" s="190">
        <f t="shared" ref="T61:T75" si="157">IFERROR((S61-M61)/M61,0)</f>
        <v>0</v>
      </c>
      <c r="U61" s="181">
        <f t="shared" ref="U61:U75" si="158">D61+F61+I61+L61+R61</f>
        <v>33</v>
      </c>
      <c r="V61" s="192">
        <f t="shared" ref="V61:V75" si="159">IFERROR((S61/E61)^(1/4)-1,0)</f>
        <v>0</v>
      </c>
      <c r="X61" s="83">
        <f>'Ανάλυση για νέους πελάτες'!D13+'Ανάλυση για νέους πελάτες'!D53+'Ανάλυση για νέους πελάτες'!D73+'Ανάλυση για νέους πελάτες'!D93+'Ανάλυση για νέους πελάτες'!D113</f>
        <v>153</v>
      </c>
      <c r="Y61" s="186">
        <f t="shared" ref="Y61:Y74" si="160">S61+X61</f>
        <v>186</v>
      </c>
      <c r="Z61" s="190">
        <f t="shared" ref="Z61:Z75" si="161">IFERROR((Y61-S61)/S61,0)</f>
        <v>4.6363636363636367</v>
      </c>
      <c r="AA61" s="83">
        <f>'Ανάλυση για νέους πελάτες'!E13+'Ανάλυση για νέους πελάτες'!E53+'Ανάλυση για νέους πελάτες'!E73+'Ανάλυση για νέους πελάτες'!E93+'Ανάλυση για νέους πελάτες'!E113</f>
        <v>210</v>
      </c>
      <c r="AB61" s="186">
        <f t="shared" ref="AB61:AB74" si="162">Y61+AA61</f>
        <v>396</v>
      </c>
      <c r="AC61" s="190">
        <f t="shared" ref="AC61:AC75" si="163">IFERROR((AB61-Y61)/Y61,0)</f>
        <v>1.1290322580645162</v>
      </c>
      <c r="AD61" s="83">
        <f>'Ανάλυση για νέους πελάτες'!F13+'Ανάλυση για νέους πελάτες'!F53+'Ανάλυση για νέους πελάτες'!F73+'Ανάλυση για νέους πελάτες'!F93+'Ανάλυση για νέους πελάτες'!F113</f>
        <v>105</v>
      </c>
      <c r="AE61" s="186">
        <f t="shared" ref="AE61:AE73" si="164">AB61+AD61</f>
        <v>501</v>
      </c>
      <c r="AF61" s="190">
        <f t="shared" ref="AF61:AF75" si="165">IFERROR((AE61-AB61)/AB61,0)</f>
        <v>0.26515151515151514</v>
      </c>
      <c r="AG61" s="83">
        <f>'Ανάλυση για νέους πελάτες'!G13+'Ανάλυση για νέους πελάτες'!G53+'Ανάλυση για νέους πελάτες'!G73+'Ανάλυση για νέους πελάτες'!G93+'Ανάλυση για νέους πελάτες'!G113</f>
        <v>30</v>
      </c>
      <c r="AH61" s="186">
        <f t="shared" ref="AH61:AH69" si="166">AE61+AG61</f>
        <v>531</v>
      </c>
      <c r="AI61" s="190">
        <f t="shared" ref="AI61:AI75" si="167">IFERROR((AH61-AE61)/AE61,0)</f>
        <v>5.9880239520958084E-2</v>
      </c>
      <c r="AJ61" s="83">
        <f>'Ανάλυση για νέους πελάτες'!H13+'Ανάλυση για νέους πελάτες'!H53+'Ανάλυση για νέους πελάτες'!H73+'Ανάλυση για νέους πελάτες'!H93+'Ανάλυση για νέους πελάτες'!H113</f>
        <v>16</v>
      </c>
      <c r="AK61" s="186">
        <f t="shared" ref="AK61:AK70" si="168">AH61+AJ61</f>
        <v>547</v>
      </c>
      <c r="AL61" s="190">
        <f t="shared" ref="AL61:AL75" si="169">IFERROR((AK61-AH61)/AH61,0)</f>
        <v>3.0131826741996232E-2</v>
      </c>
      <c r="AM61" s="181">
        <f>X61+AA61+AD61+AG61+AJ61</f>
        <v>514</v>
      </c>
      <c r="AN61" s="192">
        <f>IFERROR((AK61/Y61)^(1/4)-1,0)</f>
        <v>0.30953947836862339</v>
      </c>
    </row>
    <row r="62" spans="2:40" outlineLevel="1" x14ac:dyDescent="0.25">
      <c r="B62" s="52" t="s">
        <v>284</v>
      </c>
      <c r="C62" s="64" t="s">
        <v>22</v>
      </c>
      <c r="D62" s="83">
        <v>0</v>
      </c>
      <c r="E62" s="83">
        <v>0</v>
      </c>
      <c r="F62" s="83">
        <v>0</v>
      </c>
      <c r="G62" s="186">
        <f t="shared" si="154"/>
        <v>0</v>
      </c>
      <c r="H62" s="190">
        <f t="shared" si="155"/>
        <v>0</v>
      </c>
      <c r="I62" s="83">
        <v>0</v>
      </c>
      <c r="J62" s="186">
        <f t="shared" si="2"/>
        <v>0</v>
      </c>
      <c r="K62" s="190">
        <f t="shared" si="3"/>
        <v>0</v>
      </c>
      <c r="L62" s="83">
        <v>0</v>
      </c>
      <c r="M62" s="186">
        <f t="shared" si="4"/>
        <v>0</v>
      </c>
      <c r="N62" s="190">
        <f t="shared" si="5"/>
        <v>0</v>
      </c>
      <c r="O62" s="83"/>
      <c r="P62" s="150"/>
      <c r="Q62" s="152"/>
      <c r="R62" s="83"/>
      <c r="S62" s="186">
        <f t="shared" si="156"/>
        <v>0</v>
      </c>
      <c r="T62" s="190">
        <f t="shared" si="157"/>
        <v>0</v>
      </c>
      <c r="U62" s="181">
        <f t="shared" si="158"/>
        <v>0</v>
      </c>
      <c r="V62" s="192">
        <f t="shared" si="159"/>
        <v>0</v>
      </c>
      <c r="X62" s="83">
        <f>'Ανάλυση για νέους πελάτες'!D14+'Ανάλυση για νέους πελάτες'!D54+'Ανάλυση για νέους πελάτες'!D74+'Ανάλυση για νέους πελάτες'!D94+'Ανάλυση για νέους πελάτες'!D114</f>
        <v>242</v>
      </c>
      <c r="Y62" s="186">
        <f t="shared" si="160"/>
        <v>242</v>
      </c>
      <c r="Z62" s="190">
        <f t="shared" si="161"/>
        <v>0</v>
      </c>
      <c r="AA62" s="83">
        <f>'Ανάλυση για νέους πελάτες'!E14+'Ανάλυση για νέους πελάτες'!E54+'Ανάλυση για νέους πελάτες'!E74+'Ανάλυση για νέους πελάτες'!E94+'Ανάλυση για νέους πελάτες'!E114</f>
        <v>290</v>
      </c>
      <c r="AB62" s="186">
        <f t="shared" si="162"/>
        <v>532</v>
      </c>
      <c r="AC62" s="190">
        <f t="shared" si="163"/>
        <v>1.1983471074380165</v>
      </c>
      <c r="AD62" s="83">
        <f>'Ανάλυση για νέους πελάτες'!F14+'Ανάλυση για νέους πελάτες'!F54+'Ανάλυση για νέους πελάτες'!F74+'Ανάλυση για νέους πελάτες'!F94+'Ανάλυση για νέους πελάτες'!F114</f>
        <v>268</v>
      </c>
      <c r="AE62" s="186">
        <f t="shared" si="164"/>
        <v>800</v>
      </c>
      <c r="AF62" s="190">
        <f t="shared" si="165"/>
        <v>0.50375939849624063</v>
      </c>
      <c r="AG62" s="83">
        <f>'Ανάλυση για νέους πελάτες'!G14+'Ανάλυση για νέους πελάτες'!G54+'Ανάλυση για νέους πελάτες'!G74+'Ανάλυση για νέους πελάτες'!G94+'Ανάλυση για νέους πελάτες'!G114</f>
        <v>68</v>
      </c>
      <c r="AH62" s="186">
        <f t="shared" si="166"/>
        <v>868</v>
      </c>
      <c r="AI62" s="190">
        <f t="shared" si="167"/>
        <v>8.5000000000000006E-2</v>
      </c>
      <c r="AJ62" s="83">
        <f>'Ανάλυση για νέους πελάτες'!H14+'Ανάλυση για νέους πελάτες'!H54+'Ανάλυση για νέους πελάτες'!H74+'Ανάλυση για νέους πελάτες'!H94+'Ανάλυση για νέους πελάτες'!H114</f>
        <v>14</v>
      </c>
      <c r="AK62" s="186">
        <f t="shared" si="168"/>
        <v>882</v>
      </c>
      <c r="AL62" s="190">
        <f t="shared" si="169"/>
        <v>1.6129032258064516E-2</v>
      </c>
      <c r="AM62" s="181">
        <f t="shared" ref="AM62:AM74" si="170">X62+AA62+AD62+AG62+AJ62</f>
        <v>882</v>
      </c>
      <c r="AN62" s="192">
        <f t="shared" ref="AN62:AN77" si="171">IFERROR((AK62/Y62)^(1/4)-1,0)</f>
        <v>0.38169855941551489</v>
      </c>
    </row>
    <row r="63" spans="2:40" outlineLevel="1" x14ac:dyDescent="0.25">
      <c r="B63" s="52" t="s">
        <v>285</v>
      </c>
      <c r="C63" s="64" t="s">
        <v>22</v>
      </c>
      <c r="D63" s="83">
        <v>0</v>
      </c>
      <c r="E63" s="83">
        <v>0</v>
      </c>
      <c r="F63" s="83">
        <v>0</v>
      </c>
      <c r="G63" s="186">
        <f t="shared" si="154"/>
        <v>0</v>
      </c>
      <c r="H63" s="190">
        <f t="shared" si="155"/>
        <v>0</v>
      </c>
      <c r="I63" s="83">
        <v>0</v>
      </c>
      <c r="J63" s="186">
        <f t="shared" si="2"/>
        <v>0</v>
      </c>
      <c r="K63" s="190">
        <f t="shared" si="3"/>
        <v>0</v>
      </c>
      <c r="L63" s="83">
        <v>0</v>
      </c>
      <c r="M63" s="186">
        <f t="shared" si="4"/>
        <v>0</v>
      </c>
      <c r="N63" s="190">
        <f t="shared" si="5"/>
        <v>0</v>
      </c>
      <c r="O63" s="83"/>
      <c r="P63" s="150"/>
      <c r="Q63" s="152"/>
      <c r="R63" s="83"/>
      <c r="S63" s="186">
        <f t="shared" si="156"/>
        <v>0</v>
      </c>
      <c r="T63" s="190">
        <f t="shared" si="157"/>
        <v>0</v>
      </c>
      <c r="U63" s="181">
        <f t="shared" si="158"/>
        <v>0</v>
      </c>
      <c r="V63" s="192">
        <f t="shared" si="159"/>
        <v>0</v>
      </c>
      <c r="X63" s="83">
        <f>'Ανάλυση για νέους πελάτες'!D15+'Ανάλυση για νέους πελάτες'!D55+'Ανάλυση για νέους πελάτες'!D75+'Ανάλυση για νέους πελάτες'!D95+'Ανάλυση για νέους πελάτες'!D115</f>
        <v>240</v>
      </c>
      <c r="Y63" s="186">
        <f t="shared" si="160"/>
        <v>240</v>
      </c>
      <c r="Z63" s="190">
        <f t="shared" si="161"/>
        <v>0</v>
      </c>
      <c r="AA63" s="83">
        <f>'Ανάλυση για νέους πελάτες'!E15+'Ανάλυση για νέους πελάτες'!E55+'Ανάλυση για νέους πελάτες'!E75+'Ανάλυση για νέους πελάτες'!E95+'Ανάλυση για νέους πελάτες'!E115</f>
        <v>284</v>
      </c>
      <c r="AB63" s="186">
        <f t="shared" si="162"/>
        <v>524</v>
      </c>
      <c r="AC63" s="190">
        <f t="shared" si="163"/>
        <v>1.1833333333333333</v>
      </c>
      <c r="AD63" s="83">
        <f>'Ανάλυση για νέους πελάτες'!F15+'Ανάλυση για νέους πελάτες'!F55+'Ανάλυση για νέους πελάτες'!F75+'Ανάλυση για νέους πελάτες'!F95+'Ανάλυση για νέους πελάτες'!F115</f>
        <v>226</v>
      </c>
      <c r="AE63" s="186">
        <f t="shared" si="164"/>
        <v>750</v>
      </c>
      <c r="AF63" s="190">
        <f t="shared" si="165"/>
        <v>0.43129770992366412</v>
      </c>
      <c r="AG63" s="83">
        <f>'Ανάλυση για νέους πελάτες'!G15+'Ανάλυση για νέους πελάτες'!G55+'Ανάλυση για νέους πελάτες'!G75+'Ανάλυση για νέους πελάτες'!G95+'Ανάλυση για νέους πελάτες'!G115</f>
        <v>69</v>
      </c>
      <c r="AH63" s="186">
        <f t="shared" si="166"/>
        <v>819</v>
      </c>
      <c r="AI63" s="190">
        <f t="shared" si="167"/>
        <v>9.1999999999999998E-2</v>
      </c>
      <c r="AJ63" s="83">
        <f>'Ανάλυση για νέους πελάτες'!H15+'Ανάλυση για νέους πελάτες'!H55+'Ανάλυση για νέους πελάτες'!H75+'Ανάλυση για νέους πελάτες'!H95+'Ανάλυση για νέους πελάτες'!H115</f>
        <v>36</v>
      </c>
      <c r="AK63" s="186">
        <f t="shared" si="168"/>
        <v>855</v>
      </c>
      <c r="AL63" s="190">
        <f t="shared" si="169"/>
        <v>4.3956043956043959E-2</v>
      </c>
      <c r="AM63" s="181">
        <f t="shared" si="170"/>
        <v>855</v>
      </c>
      <c r="AN63" s="192">
        <f t="shared" si="171"/>
        <v>0.37384810252723621</v>
      </c>
    </row>
    <row r="64" spans="2:40" outlineLevel="1" x14ac:dyDescent="0.25">
      <c r="B64" s="52" t="s">
        <v>286</v>
      </c>
      <c r="C64" s="64" t="s">
        <v>22</v>
      </c>
      <c r="D64" s="83">
        <v>0</v>
      </c>
      <c r="E64" s="83">
        <v>0</v>
      </c>
      <c r="F64" s="83">
        <v>0</v>
      </c>
      <c r="G64" s="187">
        <f t="shared" si="154"/>
        <v>0</v>
      </c>
      <c r="H64" s="191">
        <f t="shared" si="155"/>
        <v>0</v>
      </c>
      <c r="I64" s="83">
        <v>0</v>
      </c>
      <c r="J64" s="187">
        <f t="shared" si="2"/>
        <v>0</v>
      </c>
      <c r="K64" s="191">
        <f t="shared" si="3"/>
        <v>0</v>
      </c>
      <c r="L64" s="83">
        <v>0</v>
      </c>
      <c r="M64" s="187">
        <f t="shared" si="4"/>
        <v>0</v>
      </c>
      <c r="N64" s="191">
        <f t="shared" si="5"/>
        <v>0</v>
      </c>
      <c r="O64" s="85"/>
      <c r="P64" s="152"/>
      <c r="Q64" s="152"/>
      <c r="R64" s="85"/>
      <c r="S64" s="186">
        <f t="shared" si="156"/>
        <v>0</v>
      </c>
      <c r="T64" s="191">
        <f t="shared" si="157"/>
        <v>0</v>
      </c>
      <c r="U64" s="181">
        <f t="shared" si="158"/>
        <v>0</v>
      </c>
      <c r="V64" s="192">
        <f t="shared" si="159"/>
        <v>0</v>
      </c>
      <c r="X64" s="83">
        <f>'Ανάλυση για νέους πελάτες'!D16+'Ανάλυση για νέους πελάτες'!D56+'Ανάλυση για νέους πελάτες'!D76+'Ανάλυση για νέους πελάτες'!D96+'Ανάλυση για νέους πελάτες'!D116</f>
        <v>274</v>
      </c>
      <c r="Y64" s="186">
        <f t="shared" si="160"/>
        <v>274</v>
      </c>
      <c r="Z64" s="191">
        <f t="shared" si="161"/>
        <v>0</v>
      </c>
      <c r="AA64" s="83">
        <f>'Ανάλυση για νέους πελάτες'!E16+'Ανάλυση για νέους πελάτες'!E56+'Ανάλυση για νέους πελάτες'!E76+'Ανάλυση για νέους πελάτες'!E96+'Ανάλυση για νέους πελάτες'!E116</f>
        <v>1157</v>
      </c>
      <c r="AB64" s="187">
        <f t="shared" si="162"/>
        <v>1431</v>
      </c>
      <c r="AC64" s="191">
        <f t="shared" si="163"/>
        <v>4.2226277372262775</v>
      </c>
      <c r="AD64" s="83">
        <f>'Ανάλυση για νέους πελάτες'!F16+'Ανάλυση για νέους πελάτες'!F56+'Ανάλυση για νέους πελάτες'!F76+'Ανάλυση για νέους πελάτες'!F96+'Ανάλυση για νέους πελάτες'!F116</f>
        <v>820</v>
      </c>
      <c r="AE64" s="187">
        <f t="shared" si="164"/>
        <v>2251</v>
      </c>
      <c r="AF64" s="191">
        <f t="shared" si="165"/>
        <v>0.573025856044724</v>
      </c>
      <c r="AG64" s="83">
        <f>'Ανάλυση για νέους πελάτες'!G16+'Ανάλυση για νέους πελάτες'!G56+'Ανάλυση για νέους πελάτες'!G76+'Ανάλυση για νέους πελάτες'!G96+'Ανάλυση για νέους πελάτες'!G116</f>
        <v>302</v>
      </c>
      <c r="AH64" s="187">
        <f t="shared" si="166"/>
        <v>2553</v>
      </c>
      <c r="AI64" s="191">
        <f t="shared" si="167"/>
        <v>0.13416259440248779</v>
      </c>
      <c r="AJ64" s="83">
        <f>'Ανάλυση για νέους πελάτες'!H16+'Ανάλυση για νέους πελάτες'!H56+'Ανάλυση για νέους πελάτες'!H76+'Ανάλυση για νέους πελάτες'!H96+'Ανάλυση για νέους πελάτες'!H116</f>
        <v>152</v>
      </c>
      <c r="AK64" s="187">
        <f t="shared" si="168"/>
        <v>2705</v>
      </c>
      <c r="AL64" s="191">
        <f t="shared" si="169"/>
        <v>5.9537798668233451E-2</v>
      </c>
      <c r="AM64" s="181">
        <f t="shared" si="170"/>
        <v>2705</v>
      </c>
      <c r="AN64" s="192">
        <f t="shared" si="171"/>
        <v>0.77257319122478463</v>
      </c>
    </row>
    <row r="65" spans="2:40" outlineLevel="1" x14ac:dyDescent="0.25">
      <c r="B65" s="52" t="s">
        <v>287</v>
      </c>
      <c r="C65" s="64" t="s">
        <v>22</v>
      </c>
      <c r="D65" s="83">
        <v>0</v>
      </c>
      <c r="E65" s="83">
        <v>0</v>
      </c>
      <c r="F65" s="83">
        <v>0</v>
      </c>
      <c r="G65" s="187">
        <f t="shared" si="154"/>
        <v>0</v>
      </c>
      <c r="H65" s="191">
        <f t="shared" si="155"/>
        <v>0</v>
      </c>
      <c r="I65" s="83">
        <v>0</v>
      </c>
      <c r="J65" s="187">
        <f t="shared" si="2"/>
        <v>0</v>
      </c>
      <c r="K65" s="191">
        <f t="shared" si="3"/>
        <v>0</v>
      </c>
      <c r="L65" s="83">
        <v>0</v>
      </c>
      <c r="M65" s="187">
        <f t="shared" si="4"/>
        <v>0</v>
      </c>
      <c r="N65" s="191">
        <f t="shared" si="5"/>
        <v>0</v>
      </c>
      <c r="O65" s="85"/>
      <c r="P65" s="152"/>
      <c r="Q65" s="152"/>
      <c r="R65" s="85"/>
      <c r="S65" s="186">
        <f t="shared" si="156"/>
        <v>0</v>
      </c>
      <c r="T65" s="191">
        <f t="shared" si="157"/>
        <v>0</v>
      </c>
      <c r="U65" s="181">
        <f t="shared" si="158"/>
        <v>0</v>
      </c>
      <c r="V65" s="192">
        <f t="shared" si="159"/>
        <v>0</v>
      </c>
      <c r="X65" s="83">
        <f>'Ανάλυση για νέους πελάτες'!D17+'Ανάλυση για νέους πελάτες'!D57+'Ανάλυση για νέους πελάτες'!D77+'Ανάλυση για νέους πελάτες'!D97+'Ανάλυση για νέους πελάτες'!D117</f>
        <v>0</v>
      </c>
      <c r="Y65" s="186">
        <f t="shared" si="160"/>
        <v>0</v>
      </c>
      <c r="Z65" s="191">
        <f t="shared" si="161"/>
        <v>0</v>
      </c>
      <c r="AA65" s="83">
        <f>'Ανάλυση για νέους πελάτες'!E17+'Ανάλυση για νέους πελάτες'!E57+'Ανάλυση για νέους πελάτες'!E77+'Ανάλυση για νέους πελάτες'!E97+'Ανάλυση για νέους πελάτες'!E117</f>
        <v>1034</v>
      </c>
      <c r="AB65" s="187">
        <f t="shared" si="162"/>
        <v>1034</v>
      </c>
      <c r="AC65" s="191">
        <f t="shared" si="163"/>
        <v>0</v>
      </c>
      <c r="AD65" s="83">
        <f>'Ανάλυση για νέους πελάτες'!F17+'Ανάλυση για νέους πελάτες'!F57+'Ανάλυση για νέους πελάτες'!F77+'Ανάλυση για νέους πελάτες'!F97+'Ανάλυση για νέους πελάτες'!F117</f>
        <v>809</v>
      </c>
      <c r="AE65" s="187">
        <f t="shared" si="164"/>
        <v>1843</v>
      </c>
      <c r="AF65" s="191">
        <f t="shared" si="165"/>
        <v>0.78239845261121854</v>
      </c>
      <c r="AG65" s="83">
        <f>'Ανάλυση για νέους πελάτες'!G17+'Ανάλυση για νέους πελάτες'!G57+'Ανάλυση για νέους πελάτες'!G77+'Ανάλυση για νέους πελάτες'!G97+'Ανάλυση για νέους πελάτες'!G117</f>
        <v>699</v>
      </c>
      <c r="AH65" s="187">
        <f t="shared" si="166"/>
        <v>2542</v>
      </c>
      <c r="AI65" s="191">
        <f t="shared" si="167"/>
        <v>0.37927292457948997</v>
      </c>
      <c r="AJ65" s="83">
        <f>'Ανάλυση για νέους πελάτες'!H17+'Ανάλυση για νέους πελάτες'!H57+'Ανάλυση για νέους πελάτες'!H77+'Ανάλυση για νέους πελάτες'!H97+'Ανάλυση για νέους πελάτες'!H117</f>
        <v>353</v>
      </c>
      <c r="AK65" s="187">
        <f t="shared" si="168"/>
        <v>2895</v>
      </c>
      <c r="AL65" s="191">
        <f t="shared" si="169"/>
        <v>0.13886703383162863</v>
      </c>
      <c r="AM65" s="181">
        <f t="shared" si="170"/>
        <v>2895</v>
      </c>
      <c r="AN65" s="192">
        <f t="shared" si="171"/>
        <v>0</v>
      </c>
    </row>
    <row r="66" spans="2:40" outlineLevel="1" x14ac:dyDescent="0.25">
      <c r="B66" s="52" t="s">
        <v>288</v>
      </c>
      <c r="C66" s="64" t="s">
        <v>22</v>
      </c>
      <c r="D66" s="83">
        <v>0</v>
      </c>
      <c r="E66" s="83">
        <v>0</v>
      </c>
      <c r="F66" s="83">
        <v>0</v>
      </c>
      <c r="G66" s="187">
        <f t="shared" ref="G66" si="172">E66+F66</f>
        <v>0</v>
      </c>
      <c r="H66" s="191">
        <f t="shared" ref="H66" si="173">IFERROR((G66-E66)/E66,0)</f>
        <v>0</v>
      </c>
      <c r="I66" s="83">
        <v>0</v>
      </c>
      <c r="J66" s="187">
        <f t="shared" ref="J66" si="174">G66+I66</f>
        <v>0</v>
      </c>
      <c r="K66" s="191">
        <f t="shared" ref="K66" si="175">IFERROR((J66-G66)/G66,0)</f>
        <v>0</v>
      </c>
      <c r="L66" s="83">
        <v>0</v>
      </c>
      <c r="M66" s="187">
        <f t="shared" ref="M66" si="176">J66+L66</f>
        <v>0</v>
      </c>
      <c r="N66" s="191">
        <f t="shared" ref="N66" si="177">IFERROR((M66-J66)/J66,0)</f>
        <v>0</v>
      </c>
      <c r="O66" s="85"/>
      <c r="P66" s="152"/>
      <c r="Q66" s="152"/>
      <c r="R66" s="85"/>
      <c r="S66" s="186">
        <f t="shared" ref="S66" si="178">M66+R66</f>
        <v>0</v>
      </c>
      <c r="T66" s="191">
        <f t="shared" ref="T66" si="179">IFERROR((S66-M66)/M66,0)</f>
        <v>0</v>
      </c>
      <c r="U66" s="181">
        <f t="shared" ref="U66" si="180">D66+F66+I66+L66+R66</f>
        <v>0</v>
      </c>
      <c r="V66" s="192">
        <f t="shared" si="159"/>
        <v>0</v>
      </c>
      <c r="X66" s="83">
        <f>'Ανάλυση για νέους πελάτες'!D18+'Ανάλυση για νέους πελάτες'!D58+'Ανάλυση για νέους πελάτες'!D78+'Ανάλυση για νέους πελάτες'!D98+'Ανάλυση για νέους πελάτες'!D118</f>
        <v>283</v>
      </c>
      <c r="Y66" s="186">
        <f t="shared" ref="Y66" si="181">S66+X66</f>
        <v>283</v>
      </c>
      <c r="Z66" s="191">
        <f t="shared" ref="Z66" si="182">IFERROR((Y66-S66)/S66,0)</f>
        <v>0</v>
      </c>
      <c r="AA66" s="83">
        <f>'Ανάλυση για νέους πελάτες'!E18+'Ανάλυση για νέους πελάτες'!E58+'Ανάλυση για νέους πελάτες'!E78+'Ανάλυση για νέους πελάτες'!E98+'Ανάλυση για νέους πελάτες'!E118</f>
        <v>370</v>
      </c>
      <c r="AB66" s="187">
        <f t="shared" ref="AB66" si="183">Y66+AA66</f>
        <v>653</v>
      </c>
      <c r="AC66" s="191">
        <f t="shared" ref="AC66" si="184">IFERROR((AB66-Y66)/Y66,0)</f>
        <v>1.3074204946996466</v>
      </c>
      <c r="AD66" s="83">
        <f>'Ανάλυση για νέους πελάτες'!F18+'Ανάλυση για νέους πελάτες'!F58+'Ανάλυση για νέους πελάτες'!F78+'Ανάλυση για νέους πελάτες'!F98+'Ανάλυση για νέους πελάτες'!F118</f>
        <v>231</v>
      </c>
      <c r="AE66" s="187">
        <f t="shared" ref="AE66" si="185">AB66+AD66</f>
        <v>884</v>
      </c>
      <c r="AF66" s="191">
        <f t="shared" ref="AF66" si="186">IFERROR((AE66-AB66)/AB66,0)</f>
        <v>0.35375191424196017</v>
      </c>
      <c r="AG66" s="83">
        <f>'Ανάλυση για νέους πελάτες'!G18+'Ανάλυση για νέους πελάτες'!G58+'Ανάλυση για νέους πελάτες'!G78+'Ανάλυση για νέους πελάτες'!G98+'Ανάλυση για νέους πελάτες'!G118</f>
        <v>54</v>
      </c>
      <c r="AH66" s="187">
        <f t="shared" ref="AH66" si="187">AE66+AG66</f>
        <v>938</v>
      </c>
      <c r="AI66" s="191">
        <f t="shared" ref="AI66" si="188">IFERROR((AH66-AE66)/AE66,0)</f>
        <v>6.1085972850678731E-2</v>
      </c>
      <c r="AJ66" s="83">
        <f>'Ανάλυση για νέους πελάτες'!H18+'Ανάλυση για νέους πελάτες'!H58+'Ανάλυση για νέους πελάτες'!H78+'Ανάλυση για νέους πελάτες'!H98+'Ανάλυση για νέους πελάτες'!H118</f>
        <v>27</v>
      </c>
      <c r="AK66" s="187">
        <f t="shared" ref="AK66" si="189">AH66+AJ66</f>
        <v>965</v>
      </c>
      <c r="AL66" s="191">
        <f t="shared" ref="AL66" si="190">IFERROR((AK66-AH66)/AH66,0)</f>
        <v>2.8784648187633263E-2</v>
      </c>
      <c r="AM66" s="181">
        <f t="shared" ref="AM66" si="191">X66+AA66+AD66+AG66+AJ66</f>
        <v>965</v>
      </c>
      <c r="AN66" s="192">
        <f t="shared" ref="AN66" si="192">IFERROR((AK66/Y66)^(1/4)-1,0)</f>
        <v>0.35889286848382196</v>
      </c>
    </row>
    <row r="67" spans="2:40" outlineLevel="1" x14ac:dyDescent="0.25">
      <c r="B67" s="52" t="s">
        <v>289</v>
      </c>
      <c r="C67" s="64" t="s">
        <v>22</v>
      </c>
      <c r="D67" s="83">
        <v>0</v>
      </c>
      <c r="E67" s="83">
        <v>0</v>
      </c>
      <c r="F67" s="83">
        <v>0</v>
      </c>
      <c r="G67" s="187">
        <f t="shared" si="154"/>
        <v>0</v>
      </c>
      <c r="H67" s="191">
        <f t="shared" si="155"/>
        <v>0</v>
      </c>
      <c r="I67" s="83">
        <v>0</v>
      </c>
      <c r="J67" s="187">
        <f t="shared" si="2"/>
        <v>0</v>
      </c>
      <c r="K67" s="191">
        <f t="shared" si="3"/>
        <v>0</v>
      </c>
      <c r="L67" s="83">
        <v>0</v>
      </c>
      <c r="M67" s="187">
        <f t="shared" si="4"/>
        <v>0</v>
      </c>
      <c r="N67" s="191">
        <f t="shared" si="5"/>
        <v>0</v>
      </c>
      <c r="O67" s="85"/>
      <c r="P67" s="152"/>
      <c r="Q67" s="152"/>
      <c r="R67" s="85"/>
      <c r="S67" s="186">
        <f t="shared" si="156"/>
        <v>0</v>
      </c>
      <c r="T67" s="191">
        <f t="shared" si="157"/>
        <v>0</v>
      </c>
      <c r="U67" s="181">
        <f t="shared" si="158"/>
        <v>0</v>
      </c>
      <c r="V67" s="192">
        <f t="shared" si="159"/>
        <v>0</v>
      </c>
      <c r="X67" s="83">
        <f>'Ανάλυση για νέους πελάτες'!D19+'Ανάλυση για νέους πελάτες'!D59+'Ανάλυση για νέους πελάτες'!D79+'Ανάλυση για νέους πελάτες'!D99+'Ανάλυση για νέους πελάτες'!D119</f>
        <v>557</v>
      </c>
      <c r="Y67" s="186">
        <f t="shared" si="160"/>
        <v>557</v>
      </c>
      <c r="Z67" s="191">
        <f t="shared" si="161"/>
        <v>0</v>
      </c>
      <c r="AA67" s="83">
        <f>'Ανάλυση για νέους πελάτες'!E19+'Ανάλυση για νέους πελάτες'!E59+'Ανάλυση για νέους πελάτες'!E79+'Ανάλυση για νέους πελάτες'!E99+'Ανάλυση για νέους πελάτες'!E119</f>
        <v>1681</v>
      </c>
      <c r="AB67" s="187">
        <f t="shared" si="162"/>
        <v>2238</v>
      </c>
      <c r="AC67" s="191">
        <f t="shared" si="163"/>
        <v>3.0179533213644523</v>
      </c>
      <c r="AD67" s="83">
        <f>'Ανάλυση για νέους πελάτες'!F19+'Ανάλυση για νέους πελάτες'!F59+'Ανάλυση για νέους πελάτες'!F79+'Ανάλυση για νέους πελάτες'!F99+'Ανάλυση για νέους πελάτες'!F119</f>
        <v>1102</v>
      </c>
      <c r="AE67" s="187">
        <f t="shared" si="164"/>
        <v>3340</v>
      </c>
      <c r="AF67" s="191">
        <f t="shared" si="165"/>
        <v>0.49240393208221628</v>
      </c>
      <c r="AG67" s="83">
        <f>'Ανάλυση για νέους πελάτες'!G19+'Ανάλυση για νέους πελάτες'!G59+'Ανάλυση για νέους πελάτες'!G79+'Ανάλυση για νέους πελάτες'!G99+'Ανάλυση για νέους πελάτες'!G119</f>
        <v>1073</v>
      </c>
      <c r="AH67" s="187">
        <f t="shared" si="166"/>
        <v>4413</v>
      </c>
      <c r="AI67" s="191">
        <f t="shared" si="167"/>
        <v>0.32125748502994012</v>
      </c>
      <c r="AJ67" s="83">
        <f>'Ανάλυση για νέους πελάτες'!H19+'Ανάλυση για νέους πελάτες'!H59+'Ανάλυση για νέους πελάτες'!H79+'Ανάλυση για νέους πελάτες'!H99+'Ανάλυση για νέους πελάτες'!H119</f>
        <v>537</v>
      </c>
      <c r="AK67" s="187">
        <f t="shared" si="168"/>
        <v>4950</v>
      </c>
      <c r="AL67" s="191">
        <f t="shared" si="169"/>
        <v>0.12168592794017676</v>
      </c>
      <c r="AM67" s="181">
        <f t="shared" si="170"/>
        <v>4950</v>
      </c>
      <c r="AN67" s="192">
        <f t="shared" si="171"/>
        <v>0.72658316070698103</v>
      </c>
    </row>
    <row r="68" spans="2:40" outlineLevel="1" x14ac:dyDescent="0.25">
      <c r="B68" s="52" t="s">
        <v>290</v>
      </c>
      <c r="C68" s="64" t="s">
        <v>22</v>
      </c>
      <c r="D68" s="83">
        <v>0</v>
      </c>
      <c r="E68" s="83">
        <v>0</v>
      </c>
      <c r="F68" s="83">
        <v>0</v>
      </c>
      <c r="G68" s="187">
        <f t="shared" ref="G68" si="193">E68+F68</f>
        <v>0</v>
      </c>
      <c r="H68" s="191">
        <f t="shared" ref="H68" si="194">IFERROR((G68-E68)/E68,0)</f>
        <v>0</v>
      </c>
      <c r="I68" s="83">
        <v>0</v>
      </c>
      <c r="J68" s="187">
        <f t="shared" ref="J68" si="195">G68+I68</f>
        <v>0</v>
      </c>
      <c r="K68" s="191">
        <f t="shared" ref="K68" si="196">IFERROR((J68-G68)/G68,0)</f>
        <v>0</v>
      </c>
      <c r="L68" s="83">
        <v>0</v>
      </c>
      <c r="M68" s="187">
        <f t="shared" ref="M68" si="197">J68+L68</f>
        <v>0</v>
      </c>
      <c r="N68" s="191">
        <f t="shared" ref="N68" si="198">IFERROR((M68-J68)/J68,0)</f>
        <v>0</v>
      </c>
      <c r="O68" s="85"/>
      <c r="P68" s="152"/>
      <c r="Q68" s="152"/>
      <c r="R68" s="85"/>
      <c r="S68" s="186">
        <f t="shared" ref="S68" si="199">M68+R68</f>
        <v>0</v>
      </c>
      <c r="T68" s="191">
        <f t="shared" ref="T68" si="200">IFERROR((S68-M68)/M68,0)</f>
        <v>0</v>
      </c>
      <c r="U68" s="181">
        <f t="shared" ref="U68" si="201">D68+F68+I68+L68+R68</f>
        <v>0</v>
      </c>
      <c r="V68" s="192">
        <f t="shared" si="159"/>
        <v>0</v>
      </c>
      <c r="X68" s="83">
        <f>'Ανάλυση για νέους πελάτες'!D20+'Ανάλυση για νέους πελάτες'!D60+'Ανάλυση για νέους πελάτες'!D80+'Ανάλυση για νέους πελάτες'!D100+'Ανάλυση για νέους πελάτες'!D120</f>
        <v>530</v>
      </c>
      <c r="Y68" s="186">
        <f t="shared" ref="Y68" si="202">S68+X68</f>
        <v>530</v>
      </c>
      <c r="Z68" s="191">
        <f t="shared" ref="Z68" si="203">IFERROR((Y68-S68)/S68,0)</f>
        <v>0</v>
      </c>
      <c r="AA68" s="83">
        <f>'Ανάλυση για νέους πελάτες'!E20+'Ανάλυση για νέους πελάτες'!E60+'Ανάλυση για νέους πελάτες'!E80+'Ανάλυση για νέους πελάτες'!E100+'Ανάλυση για νέους πελάτες'!E120</f>
        <v>1515</v>
      </c>
      <c r="AB68" s="187">
        <f t="shared" ref="AB68" si="204">Y68+AA68</f>
        <v>2045</v>
      </c>
      <c r="AC68" s="191">
        <f t="shared" ref="AC68" si="205">IFERROR((AB68-Y68)/Y68,0)</f>
        <v>2.858490566037736</v>
      </c>
      <c r="AD68" s="83">
        <f>'Ανάλυση για νέους πελάτες'!F20+'Ανάλυση για νέους πελάτες'!F60+'Ανάλυση για νέους πελάτες'!F80+'Ανάλυση για νέους πελάτες'!F100+'Ανάλυση για νέους πελάτες'!F120</f>
        <v>1275</v>
      </c>
      <c r="AE68" s="187">
        <f t="shared" ref="AE68" si="206">AB68+AD68</f>
        <v>3320</v>
      </c>
      <c r="AF68" s="191">
        <f t="shared" ref="AF68" si="207">IFERROR((AE68-AB68)/AB68,0)</f>
        <v>0.62347188264058684</v>
      </c>
      <c r="AG68" s="83">
        <f>'Ανάλυση για νέους πελάτες'!G20+'Ανάλυση για νέους πελάτες'!G60+'Ανάλυση για νέους πελάτες'!G80+'Ανάλυση για νέους πελάτες'!G100+'Ανάλυση για νέους πελάτες'!G120</f>
        <v>1075</v>
      </c>
      <c r="AH68" s="187">
        <f t="shared" ref="AH68" si="208">AE68+AG68</f>
        <v>4395</v>
      </c>
      <c r="AI68" s="191">
        <f t="shared" ref="AI68" si="209">IFERROR((AH68-AE68)/AE68,0)</f>
        <v>0.32379518072289154</v>
      </c>
      <c r="AJ68" s="83">
        <f>'Ανάλυση για νέους πελάτες'!H20+'Ανάλυση για νέους πελάτες'!H60+'Ανάλυση για νέους πελάτες'!H80+'Ανάλυση για νέους πελάτες'!H100+'Ανάλυση για νέους πελάτες'!H120</f>
        <v>537</v>
      </c>
      <c r="AK68" s="187">
        <f t="shared" ref="AK68" si="210">AH68+AJ68</f>
        <v>4932</v>
      </c>
      <c r="AL68" s="191">
        <f t="shared" ref="AL68" si="211">IFERROR((AK68-AH68)/AH68,0)</f>
        <v>0.12218430034129693</v>
      </c>
      <c r="AM68" s="181">
        <f t="shared" ref="AM68" si="212">X68+AA68+AD68+AG68+AJ68</f>
        <v>4932</v>
      </c>
      <c r="AN68" s="192">
        <f t="shared" ref="AN68" si="213">IFERROR((AK68/Y68)^(1/4)-1,0)</f>
        <v>0.74657323083024174</v>
      </c>
    </row>
    <row r="69" spans="2:40" outlineLevel="1" x14ac:dyDescent="0.25">
      <c r="B69" s="52" t="s">
        <v>291</v>
      </c>
      <c r="C69" s="64" t="s">
        <v>22</v>
      </c>
      <c r="D69" s="83">
        <v>0</v>
      </c>
      <c r="E69" s="83">
        <v>0</v>
      </c>
      <c r="F69" s="83">
        <v>0</v>
      </c>
      <c r="G69" s="187">
        <f t="shared" si="154"/>
        <v>0</v>
      </c>
      <c r="H69" s="191">
        <f t="shared" si="155"/>
        <v>0</v>
      </c>
      <c r="I69" s="83">
        <v>0</v>
      </c>
      <c r="J69" s="187">
        <f t="shared" si="2"/>
        <v>0</v>
      </c>
      <c r="K69" s="191">
        <f t="shared" si="3"/>
        <v>0</v>
      </c>
      <c r="L69" s="83">
        <v>539</v>
      </c>
      <c r="M69" s="187">
        <f t="shared" si="4"/>
        <v>539</v>
      </c>
      <c r="N69" s="191">
        <f t="shared" si="5"/>
        <v>0</v>
      </c>
      <c r="O69" s="85"/>
      <c r="P69" s="152"/>
      <c r="Q69" s="152"/>
      <c r="R69" s="85">
        <v>674</v>
      </c>
      <c r="S69" s="186">
        <f t="shared" si="156"/>
        <v>1213</v>
      </c>
      <c r="T69" s="191">
        <f t="shared" si="157"/>
        <v>1.2504638218923934</v>
      </c>
      <c r="U69" s="181">
        <f t="shared" si="158"/>
        <v>1213</v>
      </c>
      <c r="V69" s="192">
        <f t="shared" si="159"/>
        <v>0</v>
      </c>
      <c r="X69" s="83">
        <f>'Ανάλυση για νέους πελάτες'!D21+'Ανάλυση για νέους πελάτες'!D61+'Ανάλυση για νέους πελάτες'!D81+'Ανάλυση για νέους πελάτες'!D101+'Ανάλυση για νέους πελάτες'!D121</f>
        <v>260</v>
      </c>
      <c r="Y69" s="186">
        <f t="shared" si="160"/>
        <v>1473</v>
      </c>
      <c r="Z69" s="191">
        <f t="shared" si="161"/>
        <v>0.21434460016488047</v>
      </c>
      <c r="AA69" s="83">
        <f>'Ανάλυση για νέους πελάτες'!E21+'Ανάλυση για νέους πελάτες'!E61+'Ανάλυση για νέους πελάτες'!E81+'Ανάλυση για νέους πελάτες'!E101+'Ανάλυση για νέους πελάτες'!E121</f>
        <v>145</v>
      </c>
      <c r="AB69" s="187">
        <f t="shared" si="162"/>
        <v>1618</v>
      </c>
      <c r="AC69" s="191">
        <f t="shared" si="163"/>
        <v>9.8438560760353025E-2</v>
      </c>
      <c r="AD69" s="83">
        <f>'Ανάλυση για νέους πελάτες'!F21+'Ανάλυση για νέους πελάτες'!F61+'Ανάλυση για νέους πελάτες'!F81+'Ανάλυση για νέους πελάτες'!F101+'Ανάλυση για νέους πελάτες'!F121</f>
        <v>34</v>
      </c>
      <c r="AE69" s="187">
        <f t="shared" si="164"/>
        <v>1652</v>
      </c>
      <c r="AF69" s="191">
        <f t="shared" si="165"/>
        <v>2.1013597033374538E-2</v>
      </c>
      <c r="AG69" s="83">
        <f>'Ανάλυση για νέους πελάτες'!G21+'Ανάλυση για νέους πελάτες'!G61+'Ανάλυση για νέους πελάτες'!G81+'Ανάλυση για νέους πελάτες'!G101+'Ανάλυση για νέους πελάτες'!G121</f>
        <v>30</v>
      </c>
      <c r="AH69" s="187">
        <f t="shared" si="166"/>
        <v>1682</v>
      </c>
      <c r="AI69" s="191">
        <f t="shared" si="167"/>
        <v>1.8159806295399514E-2</v>
      </c>
      <c r="AJ69" s="83">
        <f>'Ανάλυση για νέους πελάτες'!H21+'Ανάλυση για νέους πελάτες'!H61+'Ανάλυση για νέους πελάτες'!H81+'Ανάλυση για νέους πελάτες'!H101+'Ανάλυση για νέους πελάτες'!H121</f>
        <v>20</v>
      </c>
      <c r="AK69" s="187">
        <f t="shared" si="168"/>
        <v>1702</v>
      </c>
      <c r="AL69" s="191">
        <f t="shared" si="169"/>
        <v>1.1890606420927468E-2</v>
      </c>
      <c r="AM69" s="181">
        <f t="shared" si="170"/>
        <v>489</v>
      </c>
      <c r="AN69" s="192">
        <f t="shared" si="171"/>
        <v>3.6786186340928229E-2</v>
      </c>
    </row>
    <row r="70" spans="2:40" outlineLevel="1" x14ac:dyDescent="0.25">
      <c r="B70" s="52" t="s">
        <v>307</v>
      </c>
      <c r="C70" s="64" t="s">
        <v>22</v>
      </c>
      <c r="D70" s="83"/>
      <c r="E70" s="83"/>
      <c r="F70" s="83"/>
      <c r="G70" s="187"/>
      <c r="H70" s="191">
        <f t="shared" si="155"/>
        <v>0</v>
      </c>
      <c r="I70" s="83"/>
      <c r="J70" s="187"/>
      <c r="K70" s="191">
        <f t="shared" si="3"/>
        <v>0</v>
      </c>
      <c r="L70" s="83"/>
      <c r="M70" s="187"/>
      <c r="N70" s="191">
        <f t="shared" si="5"/>
        <v>0</v>
      </c>
      <c r="O70" s="85"/>
      <c r="P70" s="152"/>
      <c r="Q70" s="152"/>
      <c r="R70" s="85"/>
      <c r="S70" s="186">
        <f t="shared" si="156"/>
        <v>0</v>
      </c>
      <c r="T70" s="191">
        <f t="shared" si="157"/>
        <v>0</v>
      </c>
      <c r="U70" s="181">
        <f t="shared" si="158"/>
        <v>0</v>
      </c>
      <c r="V70" s="192">
        <f t="shared" si="159"/>
        <v>0</v>
      </c>
      <c r="X70" s="83">
        <f>'Ανάλυση για νέους πελάτες'!D22+'Ανάλυση για νέους πελάτες'!D62+'Ανάλυση για νέους πελάτες'!D82+'Ανάλυση για νέους πελάτες'!D102+'Ανάλυση για νέους πελάτες'!D122</f>
        <v>65</v>
      </c>
      <c r="Y70" s="186">
        <f t="shared" si="160"/>
        <v>65</v>
      </c>
      <c r="Z70" s="191">
        <f t="shared" si="161"/>
        <v>0</v>
      </c>
      <c r="AA70" s="83">
        <f>'Ανάλυση για νέους πελάτες'!E22+'Ανάλυση για νέους πελάτες'!E62+'Ανάλυση για νέους πελάτες'!E82+'Ανάλυση για νέους πελάτες'!E102+'Ανάλυση για νέους πελάτες'!E122</f>
        <v>94</v>
      </c>
      <c r="AB70" s="187">
        <f t="shared" si="162"/>
        <v>159</v>
      </c>
      <c r="AC70" s="191">
        <f t="shared" si="163"/>
        <v>1.4461538461538461</v>
      </c>
      <c r="AD70" s="83">
        <f>'Ανάλυση για νέους πελάτες'!F22+'Ανάλυση για νέους πελάτες'!F62+'Ανάλυση για νέους πελάτες'!F82+'Ανάλυση για νέους πελάτες'!F102+'Ανάλυση για νέους πελάτες'!F122</f>
        <v>101</v>
      </c>
      <c r="AE70" s="187">
        <f t="shared" si="164"/>
        <v>260</v>
      </c>
      <c r="AF70" s="191">
        <f t="shared" si="165"/>
        <v>0.63522012578616349</v>
      </c>
      <c r="AG70" s="83">
        <f>'Ανάλυση για νέους πελάτες'!G22+'Ανάλυση για νέους πελάτες'!G62+'Ανάλυση για νέους πελάτες'!G82+'Ανάλυση για νέους πελάτες'!G102+'Ανάλυση για νέους πελάτες'!G122</f>
        <v>60</v>
      </c>
      <c r="AH70" s="187">
        <f t="shared" ref="AH70:AH74" si="214">AE70+AG70</f>
        <v>320</v>
      </c>
      <c r="AI70" s="191">
        <f t="shared" si="167"/>
        <v>0.23076923076923078</v>
      </c>
      <c r="AJ70" s="83">
        <f>'Ανάλυση για νέους πελάτες'!H22+'Ανάλυση για νέους πελάτες'!H62+'Ανάλυση για νέους πελάτες'!H82+'Ανάλυση για νέους πελάτες'!H102+'Ανάλυση για νέους πελάτες'!H122</f>
        <v>49</v>
      </c>
      <c r="AK70" s="187">
        <f t="shared" si="168"/>
        <v>369</v>
      </c>
      <c r="AL70" s="191">
        <f t="shared" si="169"/>
        <v>0.15312500000000001</v>
      </c>
      <c r="AM70" s="181">
        <f t="shared" si="170"/>
        <v>369</v>
      </c>
      <c r="AN70" s="192">
        <f t="shared" si="171"/>
        <v>0.54357683514463684</v>
      </c>
    </row>
    <row r="71" spans="2:40" outlineLevel="1" x14ac:dyDescent="0.25">
      <c r="B71" s="52" t="s">
        <v>304</v>
      </c>
      <c r="C71" s="64" t="s">
        <v>22</v>
      </c>
      <c r="D71" s="83"/>
      <c r="E71" s="83"/>
      <c r="F71" s="83"/>
      <c r="G71" s="187"/>
      <c r="H71" s="191">
        <f t="shared" si="155"/>
        <v>0</v>
      </c>
      <c r="I71" s="83"/>
      <c r="J71" s="187"/>
      <c r="K71" s="191">
        <f t="shared" si="3"/>
        <v>0</v>
      </c>
      <c r="L71" s="83"/>
      <c r="M71" s="187"/>
      <c r="N71" s="191">
        <f t="shared" si="5"/>
        <v>0</v>
      </c>
      <c r="O71" s="85"/>
      <c r="P71" s="152"/>
      <c r="Q71" s="152"/>
      <c r="R71" s="85"/>
      <c r="S71" s="186">
        <f t="shared" si="156"/>
        <v>0</v>
      </c>
      <c r="T71" s="191">
        <f t="shared" si="157"/>
        <v>0</v>
      </c>
      <c r="U71" s="181">
        <f t="shared" si="158"/>
        <v>0</v>
      </c>
      <c r="V71" s="192">
        <f t="shared" si="159"/>
        <v>0</v>
      </c>
      <c r="X71" s="83">
        <f>'Ανάλυση για νέους πελάτες'!D23+'Ανάλυση για νέους πελάτες'!D63+'Ανάλυση για νέους πελάτες'!D83+'Ανάλυση για νέους πελάτες'!D103+'Ανάλυση για νέους πελάτες'!D123</f>
        <v>71</v>
      </c>
      <c r="Y71" s="186">
        <f t="shared" si="160"/>
        <v>71</v>
      </c>
      <c r="Z71" s="191">
        <f t="shared" si="161"/>
        <v>0</v>
      </c>
      <c r="AA71" s="83">
        <f>'Ανάλυση για νέους πελάτες'!E23+'Ανάλυση για νέους πελάτες'!E63+'Ανάλυση για νέους πελάτες'!E83+'Ανάλυση για νέους πελάτες'!E103+'Ανάλυση για νέους πελάτες'!E123</f>
        <v>94</v>
      </c>
      <c r="AB71" s="187">
        <f t="shared" si="162"/>
        <v>165</v>
      </c>
      <c r="AC71" s="191">
        <f t="shared" si="163"/>
        <v>1.323943661971831</v>
      </c>
      <c r="AD71" s="83">
        <f>'Ανάλυση για νέους πελάτες'!F23+'Ανάλυση για νέους πελάτες'!F63+'Ανάλυση για νέους πελάτες'!F83+'Ανάλυση για νέους πελάτες'!F103+'Ανάλυση για νέους πελάτες'!F123</f>
        <v>150</v>
      </c>
      <c r="AE71" s="187">
        <f t="shared" si="164"/>
        <v>315</v>
      </c>
      <c r="AF71" s="191">
        <f t="shared" si="165"/>
        <v>0.90909090909090906</v>
      </c>
      <c r="AG71" s="83">
        <f>'Ανάλυση για νέους πελάτες'!G23+'Ανάλυση για νέους πελάτες'!G63+'Ανάλυση για νέους πελάτες'!G83+'Ανάλυση για νέους πελάτες'!G103+'Ανάλυση για νέους πελάτες'!G123</f>
        <v>70</v>
      </c>
      <c r="AH71" s="187">
        <f t="shared" si="214"/>
        <v>385</v>
      </c>
      <c r="AI71" s="191">
        <f t="shared" si="167"/>
        <v>0.22222222222222221</v>
      </c>
      <c r="AJ71" s="83">
        <f>'Ανάλυση για νέους πελάτες'!H23+'Ανάλυση για νέους πελάτες'!H63+'Ανάλυση για νέους πελάτες'!H83+'Ανάλυση για νέους πελάτες'!H103+'Ανάλυση για νέους πελάτες'!H123</f>
        <v>49</v>
      </c>
      <c r="AK71" s="187">
        <f t="shared" ref="AK71:AK74" si="215">AH71+AJ71</f>
        <v>434</v>
      </c>
      <c r="AL71" s="191">
        <f t="shared" si="169"/>
        <v>0.12727272727272726</v>
      </c>
      <c r="AM71" s="181">
        <f t="shared" si="170"/>
        <v>434</v>
      </c>
      <c r="AN71" s="192">
        <f t="shared" si="171"/>
        <v>0.57238120945930504</v>
      </c>
    </row>
    <row r="72" spans="2:40" outlineLevel="1" x14ac:dyDescent="0.25">
      <c r="B72" s="52" t="s">
        <v>305</v>
      </c>
      <c r="C72" s="64" t="s">
        <v>22</v>
      </c>
      <c r="D72" s="83"/>
      <c r="E72" s="83"/>
      <c r="F72" s="83"/>
      <c r="G72" s="187"/>
      <c r="H72" s="191">
        <f t="shared" si="155"/>
        <v>0</v>
      </c>
      <c r="I72" s="83"/>
      <c r="J72" s="187"/>
      <c r="K72" s="191">
        <f t="shared" si="3"/>
        <v>0</v>
      </c>
      <c r="L72" s="83"/>
      <c r="M72" s="187"/>
      <c r="N72" s="191">
        <f t="shared" si="5"/>
        <v>0</v>
      </c>
      <c r="O72" s="85"/>
      <c r="P72" s="152"/>
      <c r="Q72" s="152"/>
      <c r="R72" s="85"/>
      <c r="S72" s="186">
        <f t="shared" si="156"/>
        <v>0</v>
      </c>
      <c r="T72" s="191">
        <f t="shared" si="157"/>
        <v>0</v>
      </c>
      <c r="U72" s="181">
        <f t="shared" si="158"/>
        <v>0</v>
      </c>
      <c r="V72" s="192">
        <f t="shared" si="159"/>
        <v>0</v>
      </c>
      <c r="X72" s="83">
        <f>'Ανάλυση για νέους πελάτες'!D24+'Ανάλυση για νέους πελάτες'!D64+'Ανάλυση για νέους πελάτες'!D84+'Ανάλυση για νέους πελάτες'!D104+'Ανάλυση για νέους πελάτες'!D124</f>
        <v>67</v>
      </c>
      <c r="Y72" s="186">
        <f t="shared" si="160"/>
        <v>67</v>
      </c>
      <c r="Z72" s="191">
        <f t="shared" si="161"/>
        <v>0</v>
      </c>
      <c r="AA72" s="83">
        <f>'Ανάλυση για νέους πελάτες'!E24+'Ανάλυση για νέους πελάτες'!E64+'Ανάλυση για νέους πελάτες'!E84+'Ανάλυση για νέους πελάτες'!E104+'Ανάλυση για νέους πελάτες'!E124</f>
        <v>94</v>
      </c>
      <c r="AB72" s="187">
        <f t="shared" si="162"/>
        <v>161</v>
      </c>
      <c r="AC72" s="191">
        <f t="shared" si="163"/>
        <v>1.4029850746268657</v>
      </c>
      <c r="AD72" s="83">
        <f>'Ανάλυση για νέους πελάτες'!F24+'Ανάλυση για νέους πελάτες'!F64+'Ανάλυση για νέους πελάτες'!F84+'Ανάλυση για νέους πελάτες'!F104+'Ανάλυση για νέους πελάτες'!F124</f>
        <v>130</v>
      </c>
      <c r="AE72" s="187">
        <f t="shared" si="164"/>
        <v>291</v>
      </c>
      <c r="AF72" s="191">
        <f t="shared" si="165"/>
        <v>0.80745341614906829</v>
      </c>
      <c r="AG72" s="83">
        <f>'Ανάλυση για νέους πελάτες'!G24+'Ανάλυση για νέους πελάτες'!G64+'Ανάλυση για νέους πελάτες'!G84+'Ανάλυση για νέους πελάτες'!G104+'Ανάλυση για νέους πελάτες'!G124</f>
        <v>60</v>
      </c>
      <c r="AH72" s="187">
        <f t="shared" si="214"/>
        <v>351</v>
      </c>
      <c r="AI72" s="191">
        <f t="shared" si="167"/>
        <v>0.20618556701030927</v>
      </c>
      <c r="AJ72" s="83">
        <f>'Ανάλυση για νέους πελάτες'!H24+'Ανάλυση για νέους πελάτες'!H64+'Ανάλυση για νέους πελάτες'!H84+'Ανάλυση για νέους πελάτες'!H104+'Ανάλυση για νέους πελάτες'!H124</f>
        <v>49</v>
      </c>
      <c r="AK72" s="187">
        <f t="shared" si="215"/>
        <v>400</v>
      </c>
      <c r="AL72" s="191">
        <f t="shared" si="169"/>
        <v>0.1396011396011396</v>
      </c>
      <c r="AM72" s="181">
        <f t="shared" si="170"/>
        <v>400</v>
      </c>
      <c r="AN72" s="192">
        <f t="shared" si="171"/>
        <v>0.563134315126536</v>
      </c>
    </row>
    <row r="73" spans="2:40" outlineLevel="1" x14ac:dyDescent="0.25">
      <c r="B73" s="52" t="s">
        <v>306</v>
      </c>
      <c r="C73" s="64" t="s">
        <v>22</v>
      </c>
      <c r="D73" s="83"/>
      <c r="E73" s="83"/>
      <c r="F73" s="83"/>
      <c r="G73" s="187"/>
      <c r="H73" s="191">
        <f t="shared" si="155"/>
        <v>0</v>
      </c>
      <c r="I73" s="83"/>
      <c r="J73" s="187"/>
      <c r="K73" s="191">
        <f t="shared" si="3"/>
        <v>0</v>
      </c>
      <c r="L73" s="83"/>
      <c r="M73" s="187"/>
      <c r="N73" s="191">
        <f t="shared" si="5"/>
        <v>0</v>
      </c>
      <c r="O73" s="85"/>
      <c r="P73" s="152"/>
      <c r="Q73" s="152"/>
      <c r="R73" s="85"/>
      <c r="S73" s="186">
        <f t="shared" si="156"/>
        <v>0</v>
      </c>
      <c r="T73" s="191">
        <f t="shared" si="157"/>
        <v>0</v>
      </c>
      <c r="U73" s="181">
        <f t="shared" si="158"/>
        <v>0</v>
      </c>
      <c r="V73" s="192">
        <f t="shared" si="159"/>
        <v>0</v>
      </c>
      <c r="X73" s="83">
        <f>'Ανάλυση για νέους πελάτες'!D25+'Ανάλυση για νέους πελάτες'!D65+'Ανάλυση για νέους πελάτες'!D85+'Ανάλυση για νέους πελάτες'!D105+'Ανάλυση για νέους πελάτες'!D125</f>
        <v>153</v>
      </c>
      <c r="Y73" s="186">
        <f t="shared" si="160"/>
        <v>153</v>
      </c>
      <c r="Z73" s="191">
        <f t="shared" si="161"/>
        <v>0</v>
      </c>
      <c r="AA73" s="83">
        <f>'Ανάλυση για νέους πελάτες'!E25+'Ανάλυση για νέους πελάτες'!E65+'Ανάλυση για νέους πελάτες'!E85+'Ανάλυση για νέους πελάτες'!E105+'Ανάλυση για νέους πελάτες'!E125</f>
        <v>175</v>
      </c>
      <c r="AB73" s="187">
        <f t="shared" si="162"/>
        <v>328</v>
      </c>
      <c r="AC73" s="191">
        <f t="shared" si="163"/>
        <v>1.1437908496732025</v>
      </c>
      <c r="AD73" s="83">
        <f>'Ανάλυση για νέους πελάτες'!F25+'Ανάλυση για νέους πελάτες'!F65+'Ανάλυση για νέους πελάτες'!F85+'Ανάλυση για νέους πελάτες'!F105+'Ανάλυση για νέους πελάτες'!F125</f>
        <v>203</v>
      </c>
      <c r="AE73" s="187">
        <f t="shared" si="164"/>
        <v>531</v>
      </c>
      <c r="AF73" s="191">
        <f t="shared" si="165"/>
        <v>0.61890243902439024</v>
      </c>
      <c r="AG73" s="83">
        <f>'Ανάλυση για νέους πελάτες'!G25+'Ανάλυση για νέους πελάτες'!G65+'Ανάλυση για νέους πελάτες'!G85+'Ανάλυση για νέους πελάτες'!G105+'Ανάλυση για νέους πελάτες'!G125</f>
        <v>184</v>
      </c>
      <c r="AH73" s="187">
        <f t="shared" si="214"/>
        <v>715</v>
      </c>
      <c r="AI73" s="191">
        <f t="shared" si="167"/>
        <v>0.34651600753295669</v>
      </c>
      <c r="AJ73" s="83">
        <f>'Ανάλυση για νέους πελάτες'!H25+'Ανάλυση για νέους πελάτες'!H65+'Ανάλυση για νέους πελάτες'!H85+'Ανάλυση για νέους πελάτες'!H105+'Ανάλυση για νέους πελάτες'!H125</f>
        <v>120</v>
      </c>
      <c r="AK73" s="187">
        <f t="shared" si="215"/>
        <v>835</v>
      </c>
      <c r="AL73" s="191">
        <f t="shared" si="169"/>
        <v>0.16783216783216784</v>
      </c>
      <c r="AM73" s="181">
        <f t="shared" si="170"/>
        <v>835</v>
      </c>
      <c r="AN73" s="192">
        <f>IFERROR((AK73/Y73)^(1/4)-1,0)</f>
        <v>0.52844128917407329</v>
      </c>
    </row>
    <row r="74" spans="2:40" outlineLevel="1" x14ac:dyDescent="0.25">
      <c r="B74" s="52" t="s">
        <v>308</v>
      </c>
      <c r="C74" s="64" t="s">
        <v>22</v>
      </c>
      <c r="D74" s="83"/>
      <c r="E74" s="83"/>
      <c r="F74" s="83"/>
      <c r="G74" s="187"/>
      <c r="H74" s="191">
        <f t="shared" si="155"/>
        <v>0</v>
      </c>
      <c r="I74" s="83"/>
      <c r="J74" s="187"/>
      <c r="K74" s="191">
        <f t="shared" si="3"/>
        <v>0</v>
      </c>
      <c r="L74" s="83"/>
      <c r="M74" s="187"/>
      <c r="N74" s="191">
        <f t="shared" si="5"/>
        <v>0</v>
      </c>
      <c r="O74" s="85"/>
      <c r="P74" s="152"/>
      <c r="Q74" s="152"/>
      <c r="R74" s="85"/>
      <c r="S74" s="186">
        <f t="shared" si="156"/>
        <v>0</v>
      </c>
      <c r="T74" s="191">
        <f t="shared" si="157"/>
        <v>0</v>
      </c>
      <c r="U74" s="181">
        <f t="shared" si="158"/>
        <v>0</v>
      </c>
      <c r="V74" s="192">
        <f t="shared" si="159"/>
        <v>0</v>
      </c>
      <c r="X74" s="83">
        <f>'Ανάλυση για νέους πελάτες'!D26+'Ανάλυση για νέους πελάτες'!D66+'Ανάλυση για νέους πελάτες'!D86+'Ανάλυση για νέους πελάτες'!D106+'Ανάλυση για νέους πελάτες'!D126</f>
        <v>122</v>
      </c>
      <c r="Y74" s="186">
        <f t="shared" si="160"/>
        <v>122</v>
      </c>
      <c r="Z74" s="191">
        <f t="shared" si="161"/>
        <v>0</v>
      </c>
      <c r="AA74" s="83">
        <f>'Ανάλυση για νέους πελάτες'!E26+'Ανάλυση για νέους πελάτες'!E66+'Ανάλυση για νέους πελάτες'!E86+'Ανάλυση για νέους πελάτες'!E106+'Ανάλυση για νέους πελάτες'!E126</f>
        <v>164</v>
      </c>
      <c r="AB74" s="187">
        <f t="shared" si="162"/>
        <v>286</v>
      </c>
      <c r="AC74" s="191">
        <f t="shared" si="163"/>
        <v>1.3442622950819672</v>
      </c>
      <c r="AD74" s="83">
        <f>'Ανάλυση για νέους πελάτες'!F26+'Ανάλυση για νέους πελάτες'!F66+'Ανάλυση για νέους πελάτες'!F86+'Ανάλυση για νέους πελάτες'!F106+'Ανάλυση για νέους πελάτες'!F126</f>
        <v>184</v>
      </c>
      <c r="AE74" s="187">
        <f t="shared" ref="AE74" si="216">AB74+AD74</f>
        <v>470</v>
      </c>
      <c r="AF74" s="191">
        <f t="shared" si="165"/>
        <v>0.64335664335664333</v>
      </c>
      <c r="AG74" s="83">
        <f>'Ανάλυση για νέους πελάτες'!G26+'Ανάλυση για νέους πελάτες'!G66+'Ανάλυση για νέους πελάτες'!G86+'Ανάλυση για νέους πελάτες'!G106+'Ανάλυση για νέους πελάτες'!G126</f>
        <v>152</v>
      </c>
      <c r="AH74" s="187">
        <f t="shared" si="214"/>
        <v>622</v>
      </c>
      <c r="AI74" s="191">
        <f t="shared" si="167"/>
        <v>0.32340425531914896</v>
      </c>
      <c r="AJ74" s="83">
        <f>'Ανάλυση για νέους πελάτες'!H26+'Ανάλυση για νέους πελάτες'!H66+'Ανάλυση για νέους πελάτες'!H86+'Ανάλυση για νέους πελάτες'!H106+'Ανάλυση για νέους πελάτες'!H126</f>
        <v>120</v>
      </c>
      <c r="AK74" s="187">
        <f t="shared" si="215"/>
        <v>742</v>
      </c>
      <c r="AL74" s="191">
        <f t="shared" si="169"/>
        <v>0.19292604501607716</v>
      </c>
      <c r="AM74" s="181">
        <f t="shared" si="170"/>
        <v>742</v>
      </c>
      <c r="AN74" s="192">
        <f t="shared" si="171"/>
        <v>0.57040264711309652</v>
      </c>
    </row>
    <row r="75" spans="2:40" outlineLevel="1" x14ac:dyDescent="0.25">
      <c r="B75" s="52"/>
      <c r="C75" s="64"/>
      <c r="D75" s="83"/>
      <c r="E75" s="83"/>
      <c r="F75" s="83"/>
      <c r="G75" s="187"/>
      <c r="H75" s="191">
        <f t="shared" si="155"/>
        <v>0</v>
      </c>
      <c r="I75" s="83"/>
      <c r="J75" s="187"/>
      <c r="K75" s="191">
        <f t="shared" si="3"/>
        <v>0</v>
      </c>
      <c r="L75" s="83"/>
      <c r="M75" s="187"/>
      <c r="N75" s="191">
        <f t="shared" si="5"/>
        <v>0</v>
      </c>
      <c r="O75" s="85"/>
      <c r="P75" s="152"/>
      <c r="Q75" s="152"/>
      <c r="R75" s="85"/>
      <c r="S75" s="186">
        <f t="shared" si="156"/>
        <v>0</v>
      </c>
      <c r="T75" s="191">
        <f t="shared" si="157"/>
        <v>0</v>
      </c>
      <c r="U75" s="181">
        <f t="shared" si="158"/>
        <v>0</v>
      </c>
      <c r="V75" s="192">
        <f t="shared" si="159"/>
        <v>0</v>
      </c>
      <c r="X75" s="83">
        <f>'Ανάλυση για νέους πελάτες'!D27+'Ανάλυση για νέους πελάτες'!D67+'Ανάλυση για νέους πελάτες'!D87+'Ανάλυση για νέους πελάτες'!D107+'Ανάλυση για νέους πελάτες'!D127</f>
        <v>0</v>
      </c>
      <c r="Y75" s="186"/>
      <c r="Z75" s="191">
        <f t="shared" si="161"/>
        <v>0</v>
      </c>
      <c r="AA75" s="83"/>
      <c r="AB75" s="187"/>
      <c r="AC75" s="191">
        <f t="shared" si="163"/>
        <v>0</v>
      </c>
      <c r="AD75" s="83"/>
      <c r="AE75" s="187"/>
      <c r="AF75" s="191">
        <f t="shared" si="165"/>
        <v>0</v>
      </c>
      <c r="AG75" s="83"/>
      <c r="AH75" s="187"/>
      <c r="AI75" s="191">
        <f t="shared" si="167"/>
        <v>0</v>
      </c>
      <c r="AJ75" s="83"/>
      <c r="AK75" s="187"/>
      <c r="AL75" s="191">
        <f t="shared" si="169"/>
        <v>0</v>
      </c>
      <c r="AM75" s="181"/>
      <c r="AN75" s="192">
        <f t="shared" si="171"/>
        <v>0</v>
      </c>
    </row>
    <row r="76" spans="2:40" outlineLevel="1" x14ac:dyDescent="0.25">
      <c r="B76" s="349" t="s">
        <v>90</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1"/>
    </row>
    <row r="77" spans="2:40" outlineLevel="1" x14ac:dyDescent="0.25">
      <c r="B77" s="52" t="s">
        <v>82</v>
      </c>
      <c r="C77" s="49" t="s">
        <v>22</v>
      </c>
      <c r="D77" s="188">
        <f>SUM(D61:D75)</f>
        <v>0</v>
      </c>
      <c r="E77" s="189">
        <f>SUM(E61:E75)</f>
        <v>0</v>
      </c>
      <c r="F77" s="188">
        <f>SUM(F61:F75)</f>
        <v>0</v>
      </c>
      <c r="G77" s="187">
        <f>SUM(G61:G75)</f>
        <v>0</v>
      </c>
      <c r="H77" s="191">
        <f>IFERROR((G77-E77)/E77,0)</f>
        <v>0</v>
      </c>
      <c r="I77" s="188">
        <f>SUM(I61:I75)</f>
        <v>0</v>
      </c>
      <c r="J77" s="187">
        <f>SUM(J61:J75)</f>
        <v>0</v>
      </c>
      <c r="K77" s="191">
        <f t="shared" si="3"/>
        <v>0</v>
      </c>
      <c r="L77" s="188">
        <f>SUM(L61:L75)</f>
        <v>572</v>
      </c>
      <c r="M77" s="187">
        <f>SUM(M61:M75)</f>
        <v>572</v>
      </c>
      <c r="N77" s="191">
        <f t="shared" si="5"/>
        <v>0</v>
      </c>
      <c r="O77" s="188">
        <f>SUM(O61:O75)</f>
        <v>0</v>
      </c>
      <c r="P77" s="152"/>
      <c r="Q77" s="152"/>
      <c r="R77" s="188">
        <f>SUM(R61:R75)</f>
        <v>674</v>
      </c>
      <c r="S77" s="187">
        <f>M77+R77</f>
        <v>1246</v>
      </c>
      <c r="T77" s="191">
        <f t="shared" ref="T77" si="217">IFERROR((S77-M77)/M77,0)</f>
        <v>1.1783216783216783</v>
      </c>
      <c r="U77" s="181">
        <f>D77+F77+I77+L77+R77</f>
        <v>1246</v>
      </c>
      <c r="V77" s="192">
        <f>IFERROR((S77/E77)^(1/4)-1,0)</f>
        <v>0</v>
      </c>
      <c r="X77" s="188">
        <f>SUM(X61:X75)</f>
        <v>3017</v>
      </c>
      <c r="Y77" s="187">
        <f>SUM(Y61:Y75)</f>
        <v>4263</v>
      </c>
      <c r="Z77" s="191">
        <f>IFERROR((Y77-S77)/S77,0)</f>
        <v>2.4213483146067416</v>
      </c>
      <c r="AA77" s="188">
        <f>SUM(AA61:AA75)</f>
        <v>7307</v>
      </c>
      <c r="AB77" s="187">
        <f>SUM(AB61:AB75)</f>
        <v>11570</v>
      </c>
      <c r="AC77" s="191">
        <f t="shared" ref="AC77" si="218">IFERROR((AB77-Y77)/Y77,0)</f>
        <v>1.7140511376964578</v>
      </c>
      <c r="AD77" s="188">
        <f>SUM(AD61:AD75)</f>
        <v>5638</v>
      </c>
      <c r="AE77" s="187">
        <f>SUM(AE61:AE75)</f>
        <v>17208</v>
      </c>
      <c r="AF77" s="191">
        <f t="shared" ref="AF77" si="219">IFERROR((AE77-AB77)/AB77,0)</f>
        <v>0.48729472774416593</v>
      </c>
      <c r="AG77" s="188">
        <f>SUM(AG61:AG75)</f>
        <v>3926</v>
      </c>
      <c r="AH77" s="187">
        <f>SUM(AH61:AH75)</f>
        <v>21134</v>
      </c>
      <c r="AI77" s="191">
        <f t="shared" ref="AI77" si="220">IFERROR((AH77-AE77)/AE77,0)</f>
        <v>0.22814969781496977</v>
      </c>
      <c r="AJ77" s="188">
        <f>SUM(AJ61:AJ75)</f>
        <v>2079</v>
      </c>
      <c r="AK77" s="187">
        <f>SUM(AK61:AK75)</f>
        <v>23213</v>
      </c>
      <c r="AL77" s="191">
        <f>IFERROR((AK77-AH77)/AH77,0)</f>
        <v>9.8372291094918143E-2</v>
      </c>
      <c r="AM77" s="187">
        <f>SUM(AM61:AM75)</f>
        <v>21967</v>
      </c>
      <c r="AN77" s="192">
        <f t="shared" si="171"/>
        <v>0.52758007385026984</v>
      </c>
    </row>
    <row r="79" spans="2:40" ht="17.25" customHeight="1" x14ac:dyDescent="0.25">
      <c r="B79" s="352" t="s">
        <v>37</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67"/>
    </row>
    <row r="80" spans="2:40" ht="5.45" customHeight="1" outlineLevel="1" x14ac:dyDescent="0.25">
      <c r="B80" s="116"/>
      <c r="C80" s="116"/>
      <c r="D80" s="116"/>
      <c r="E80" s="116"/>
      <c r="F80" s="116"/>
      <c r="G80" s="116"/>
      <c r="H80" s="116"/>
      <c r="I80" s="116"/>
      <c r="J80" s="116"/>
      <c r="K80" s="116"/>
      <c r="L80" s="116"/>
      <c r="M80" s="116"/>
      <c r="N80" s="116"/>
      <c r="O80" s="116"/>
      <c r="P80" s="116"/>
      <c r="Q80" s="116"/>
      <c r="R80" s="116"/>
      <c r="S80" s="116"/>
      <c r="T80" s="116"/>
      <c r="U80" s="116"/>
      <c r="V80" s="116"/>
      <c r="W80" s="115"/>
      <c r="X80" s="115"/>
      <c r="Y80" s="115"/>
      <c r="Z80" s="115"/>
      <c r="AA80" s="115"/>
      <c r="AB80" s="115"/>
      <c r="AC80" s="115"/>
      <c r="AD80" s="115"/>
      <c r="AE80" s="115"/>
      <c r="AF80" s="115"/>
      <c r="AG80" s="115"/>
      <c r="AH80" s="115"/>
      <c r="AI80" s="115"/>
      <c r="AJ80" s="115"/>
      <c r="AK80" s="115"/>
      <c r="AL80" s="115"/>
      <c r="AM80" s="115"/>
      <c r="AN80" s="115"/>
    </row>
    <row r="81" spans="2:40" ht="15" customHeight="1" outlineLevel="1" x14ac:dyDescent="0.25">
      <c r="B81" s="368"/>
      <c r="C81" s="369" t="s">
        <v>20</v>
      </c>
      <c r="D81" s="372" t="s">
        <v>262</v>
      </c>
      <c r="E81" s="373"/>
      <c r="F81" s="373"/>
      <c r="G81" s="373"/>
      <c r="H81" s="373"/>
      <c r="I81" s="373"/>
      <c r="J81" s="373"/>
      <c r="K81" s="373"/>
      <c r="L81" s="373"/>
      <c r="M81" s="373"/>
      <c r="N81" s="373"/>
      <c r="O81" s="373"/>
      <c r="P81" s="373"/>
      <c r="Q81" s="374"/>
      <c r="R81" s="372" t="s">
        <v>260</v>
      </c>
      <c r="S81" s="373"/>
      <c r="T81" s="374"/>
      <c r="U81" s="388" t="str">
        <f xml:space="preserve"> D82&amp;" - "&amp;R82</f>
        <v>2018 - 2022</v>
      </c>
      <c r="V81" s="389"/>
      <c r="X81" s="372" t="s">
        <v>261</v>
      </c>
      <c r="Y81" s="373"/>
      <c r="Z81" s="373"/>
      <c r="AA81" s="373"/>
      <c r="AB81" s="373"/>
      <c r="AC81" s="373"/>
      <c r="AD81" s="373"/>
      <c r="AE81" s="373"/>
      <c r="AF81" s="373"/>
      <c r="AG81" s="373"/>
      <c r="AH81" s="373"/>
      <c r="AI81" s="373"/>
      <c r="AJ81" s="373"/>
      <c r="AK81" s="373"/>
      <c r="AL81" s="373"/>
      <c r="AM81" s="373"/>
      <c r="AN81" s="375"/>
    </row>
    <row r="82" spans="2:40" ht="15" customHeight="1" outlineLevel="1" x14ac:dyDescent="0.25">
      <c r="B82" s="368"/>
      <c r="C82" s="370"/>
      <c r="D82" s="372">
        <f>$C$3-5</f>
        <v>2018</v>
      </c>
      <c r="E82" s="374"/>
      <c r="F82" s="372">
        <f>$C$3-4</f>
        <v>2019</v>
      </c>
      <c r="G82" s="373"/>
      <c r="H82" s="374"/>
      <c r="I82" s="372">
        <f>$C$3-3</f>
        <v>2020</v>
      </c>
      <c r="J82" s="373"/>
      <c r="K82" s="374"/>
      <c r="L82" s="372">
        <f>$C$3-2</f>
        <v>2021</v>
      </c>
      <c r="M82" s="373"/>
      <c r="N82" s="374"/>
      <c r="O82" s="372" t="str">
        <f>$C$3-1&amp;""&amp;" ("&amp;"Σεπτ"&amp;")"</f>
        <v>2022 (Σεπτ)</v>
      </c>
      <c r="P82" s="373"/>
      <c r="Q82" s="374"/>
      <c r="R82" s="372">
        <f>$C$3-1</f>
        <v>2022</v>
      </c>
      <c r="S82" s="373"/>
      <c r="T82" s="374"/>
      <c r="U82" s="390"/>
      <c r="V82" s="391"/>
      <c r="X82" s="372">
        <f>$C$3</f>
        <v>2023</v>
      </c>
      <c r="Y82" s="373"/>
      <c r="Z82" s="374"/>
      <c r="AA82" s="372">
        <f>$C$3+1</f>
        <v>2024</v>
      </c>
      <c r="AB82" s="373"/>
      <c r="AC82" s="374"/>
      <c r="AD82" s="372">
        <f>$C$3+2</f>
        <v>2025</v>
      </c>
      <c r="AE82" s="373"/>
      <c r="AF82" s="374"/>
      <c r="AG82" s="372">
        <f>$C$3+3</f>
        <v>2026</v>
      </c>
      <c r="AH82" s="373"/>
      <c r="AI82" s="374"/>
      <c r="AJ82" s="372">
        <f>$C$3+4</f>
        <v>2027</v>
      </c>
      <c r="AK82" s="373"/>
      <c r="AL82" s="374"/>
      <c r="AM82" s="376" t="str">
        <f>X82&amp;" - "&amp;AJ82</f>
        <v>2023 - 2027</v>
      </c>
      <c r="AN82" s="377"/>
    </row>
    <row r="83" spans="2:40" ht="30" outlineLevel="1" x14ac:dyDescent="0.25">
      <c r="B83" s="368"/>
      <c r="C83" s="371"/>
      <c r="D83" s="67" t="s">
        <v>6</v>
      </c>
      <c r="E83" s="68" t="s">
        <v>7</v>
      </c>
      <c r="F83" s="67" t="s">
        <v>6</v>
      </c>
      <c r="G83" s="9" t="s">
        <v>7</v>
      </c>
      <c r="H83" s="68" t="s">
        <v>81</v>
      </c>
      <c r="I83" s="67" t="s">
        <v>6</v>
      </c>
      <c r="J83" s="9" t="s">
        <v>7</v>
      </c>
      <c r="K83" s="68" t="s">
        <v>81</v>
      </c>
      <c r="L83" s="67" t="s">
        <v>6</v>
      </c>
      <c r="M83" s="9" t="s">
        <v>7</v>
      </c>
      <c r="N83" s="68" t="s">
        <v>81</v>
      </c>
      <c r="O83" s="67" t="s">
        <v>6</v>
      </c>
      <c r="P83" s="9" t="s">
        <v>7</v>
      </c>
      <c r="Q83" s="68" t="s">
        <v>81</v>
      </c>
      <c r="R83" s="67" t="s">
        <v>4</v>
      </c>
      <c r="S83" s="9" t="s">
        <v>5</v>
      </c>
      <c r="T83" s="68" t="s">
        <v>81</v>
      </c>
      <c r="U83" s="9" t="s">
        <v>17</v>
      </c>
      <c r="V83" s="60" t="s">
        <v>83</v>
      </c>
      <c r="X83" s="67" t="s">
        <v>6</v>
      </c>
      <c r="Y83" s="9" t="s">
        <v>7</v>
      </c>
      <c r="Z83" s="68" t="s">
        <v>81</v>
      </c>
      <c r="AA83" s="67" t="s">
        <v>6</v>
      </c>
      <c r="AB83" s="9" t="s">
        <v>7</v>
      </c>
      <c r="AC83" s="68" t="s">
        <v>81</v>
      </c>
      <c r="AD83" s="67" t="s">
        <v>6</v>
      </c>
      <c r="AE83" s="9" t="s">
        <v>7</v>
      </c>
      <c r="AF83" s="68" t="s">
        <v>81</v>
      </c>
      <c r="AG83" s="67" t="s">
        <v>6</v>
      </c>
      <c r="AH83" s="9" t="s">
        <v>7</v>
      </c>
      <c r="AI83" s="68" t="s">
        <v>81</v>
      </c>
      <c r="AJ83" s="67" t="s">
        <v>6</v>
      </c>
      <c r="AK83" s="9" t="s">
        <v>7</v>
      </c>
      <c r="AL83" s="68" t="s">
        <v>81</v>
      </c>
      <c r="AM83" s="9" t="s">
        <v>17</v>
      </c>
      <c r="AN83" s="60" t="s">
        <v>83</v>
      </c>
    </row>
    <row r="84" spans="2:40" outlineLevel="1" x14ac:dyDescent="0.25">
      <c r="B84" s="52" t="s">
        <v>283</v>
      </c>
      <c r="C84" s="64" t="s">
        <v>22</v>
      </c>
      <c r="D84" s="83">
        <v>0</v>
      </c>
      <c r="E84" s="83">
        <v>0</v>
      </c>
      <c r="F84" s="83">
        <v>0</v>
      </c>
      <c r="G84" s="186">
        <f t="shared" ref="G84:G92" si="221">E84+F84</f>
        <v>0</v>
      </c>
      <c r="H84" s="190">
        <f t="shared" ref="H84:H98" si="222">IFERROR((G84-E84)/E84,0)</f>
        <v>0</v>
      </c>
      <c r="I84" s="83">
        <v>0</v>
      </c>
      <c r="J84" s="186">
        <f t="shared" si="2"/>
        <v>0</v>
      </c>
      <c r="K84" s="190">
        <f t="shared" si="3"/>
        <v>0</v>
      </c>
      <c r="L84" s="83">
        <v>31</v>
      </c>
      <c r="M84" s="186">
        <f t="shared" si="4"/>
        <v>31</v>
      </c>
      <c r="N84" s="190">
        <f t="shared" si="5"/>
        <v>0</v>
      </c>
      <c r="O84" s="83"/>
      <c r="P84" s="150"/>
      <c r="Q84" s="152"/>
      <c r="R84" s="83"/>
      <c r="S84" s="186">
        <f t="shared" ref="S84:S98" si="223">M84+R84</f>
        <v>31</v>
      </c>
      <c r="T84" s="190">
        <f t="shared" ref="T84:T98" si="224">IFERROR((S84-M84)/M84,0)</f>
        <v>0</v>
      </c>
      <c r="U84" s="181">
        <f t="shared" ref="U84:U98" si="225">D84+F84+I84+L84+R84</f>
        <v>31</v>
      </c>
      <c r="V84" s="192">
        <f t="shared" ref="V84:V98" si="226">IFERROR((S84/E84)^(1/4)-1,0)</f>
        <v>0</v>
      </c>
      <c r="X84" s="83">
        <f>'Ανάλυση για νέους πελάτες'!D13+'Ανάλυση για νέους πελάτες'!D53+'Ανάλυση για νέους πελάτες'!D73+'Ανάλυση για νέους πελάτες'!D93+'Ανάλυση για νέους πελάτες'!D113</f>
        <v>153</v>
      </c>
      <c r="Y84" s="186">
        <f t="shared" ref="Y84:Y97" si="227">S84+X84</f>
        <v>184</v>
      </c>
      <c r="Z84" s="190">
        <f t="shared" ref="Z84:Z98" si="228">IFERROR((Y84-S84)/S84,0)</f>
        <v>4.935483870967742</v>
      </c>
      <c r="AA84" s="83">
        <f>'Ανάλυση για νέους πελάτες'!E13+'Ανάλυση για νέους πελάτες'!E53+'Ανάλυση για νέους πελάτες'!E73+'Ανάλυση για νέους πελάτες'!E93+'Ανάλυση για νέους πελάτες'!E113</f>
        <v>210</v>
      </c>
      <c r="AB84" s="186">
        <f t="shared" ref="AB84:AB97" si="229">Y84+AA84</f>
        <v>394</v>
      </c>
      <c r="AC84" s="190">
        <f t="shared" ref="AC84:AC98" si="230">IFERROR((AB84-Y84)/Y84,0)</f>
        <v>1.1413043478260869</v>
      </c>
      <c r="AD84" s="83">
        <f>'Ανάλυση για νέους πελάτες'!F13+'Ανάλυση για νέους πελάτες'!F53+'Ανάλυση για νέους πελάτες'!F73+'Ανάλυση για νέους πελάτες'!F93+'Ανάλυση για νέους πελάτες'!F113</f>
        <v>105</v>
      </c>
      <c r="AE84" s="186">
        <f t="shared" ref="AE84:AE95" si="231">AB84+AD84</f>
        <v>499</v>
      </c>
      <c r="AF84" s="190">
        <f t="shared" ref="AF84:AF98" si="232">IFERROR((AE84-AB84)/AB84,0)</f>
        <v>0.26649746192893403</v>
      </c>
      <c r="AG84" s="83">
        <f>'Ανάλυση για νέους πελάτες'!G13+'Ανάλυση για νέους πελάτες'!G53+'Ανάλυση για νέους πελάτες'!G73+'Ανάλυση για νέους πελάτες'!G93+'Ανάλυση για νέους πελάτες'!G113</f>
        <v>30</v>
      </c>
      <c r="AH84" s="186">
        <f t="shared" ref="AH84:AH95" si="233">AE84+AG84</f>
        <v>529</v>
      </c>
      <c r="AI84" s="190">
        <f t="shared" ref="AI84:AI98" si="234">IFERROR((AH84-AE84)/AE84,0)</f>
        <v>6.0120240480961921E-2</v>
      </c>
      <c r="AJ84" s="83">
        <f>'Ανάλυση για νέους πελάτες'!H13+'Ανάλυση για νέους πελάτες'!H53+'Ανάλυση για νέους πελάτες'!H73+'Ανάλυση για νέους πελάτες'!H93+'Ανάλυση για νέους πελάτες'!H113</f>
        <v>16</v>
      </c>
      <c r="AK84" s="186">
        <f t="shared" ref="AK84:AK95" si="235">AH84+AJ84</f>
        <v>545</v>
      </c>
      <c r="AL84" s="190">
        <f t="shared" ref="AL84:AL98" si="236">IFERROR((AK84-AH84)/AH84,0)</f>
        <v>3.0245746691871456E-2</v>
      </c>
      <c r="AM84" s="181">
        <f>X84+AA84+AD84+AG84+AJ84</f>
        <v>514</v>
      </c>
      <c r="AN84" s="192">
        <f>IFERROR((AK84/Y84)^(1/4)-1,0)</f>
        <v>0.31188168752393164</v>
      </c>
    </row>
    <row r="85" spans="2:40" outlineLevel="1" x14ac:dyDescent="0.25">
      <c r="B85" s="52" t="s">
        <v>284</v>
      </c>
      <c r="C85" s="64" t="s">
        <v>22</v>
      </c>
      <c r="D85" s="83">
        <v>0</v>
      </c>
      <c r="E85" s="83">
        <v>0</v>
      </c>
      <c r="F85" s="83">
        <v>0</v>
      </c>
      <c r="G85" s="186">
        <f t="shared" si="221"/>
        <v>0</v>
      </c>
      <c r="H85" s="190">
        <f t="shared" si="222"/>
        <v>0</v>
      </c>
      <c r="I85" s="83">
        <v>0</v>
      </c>
      <c r="J85" s="186">
        <f t="shared" si="2"/>
        <v>0</v>
      </c>
      <c r="K85" s="190">
        <f t="shared" si="3"/>
        <v>0</v>
      </c>
      <c r="L85" s="83">
        <v>0</v>
      </c>
      <c r="M85" s="186">
        <f t="shared" si="4"/>
        <v>0</v>
      </c>
      <c r="N85" s="190">
        <f t="shared" si="5"/>
        <v>0</v>
      </c>
      <c r="O85" s="83"/>
      <c r="P85" s="150"/>
      <c r="Q85" s="152"/>
      <c r="R85" s="83"/>
      <c r="S85" s="186">
        <f t="shared" si="223"/>
        <v>0</v>
      </c>
      <c r="T85" s="190">
        <f t="shared" si="224"/>
        <v>0</v>
      </c>
      <c r="U85" s="181">
        <f t="shared" si="225"/>
        <v>0</v>
      </c>
      <c r="V85" s="192">
        <f t="shared" si="226"/>
        <v>0</v>
      </c>
      <c r="X85" s="83">
        <f>'Ανάλυση για νέους πελάτες'!D14+'Ανάλυση για νέους πελάτες'!D54+'Ανάλυση για νέους πελάτες'!D74+'Ανάλυση για νέους πελάτες'!D94+'Ανάλυση για νέους πελάτες'!D114</f>
        <v>242</v>
      </c>
      <c r="Y85" s="186">
        <f t="shared" si="227"/>
        <v>242</v>
      </c>
      <c r="Z85" s="190">
        <f t="shared" si="228"/>
        <v>0</v>
      </c>
      <c r="AA85" s="83">
        <f>'Ανάλυση για νέους πελάτες'!E14+'Ανάλυση για νέους πελάτες'!E54+'Ανάλυση για νέους πελάτες'!E74+'Ανάλυση για νέους πελάτες'!E94+'Ανάλυση για νέους πελάτες'!E114</f>
        <v>290</v>
      </c>
      <c r="AB85" s="186">
        <f t="shared" si="229"/>
        <v>532</v>
      </c>
      <c r="AC85" s="190">
        <f t="shared" si="230"/>
        <v>1.1983471074380165</v>
      </c>
      <c r="AD85" s="83">
        <f>'Ανάλυση για νέους πελάτες'!F14+'Ανάλυση για νέους πελάτες'!F54+'Ανάλυση για νέους πελάτες'!F74+'Ανάλυση για νέους πελάτες'!F94+'Ανάλυση για νέους πελάτες'!F114</f>
        <v>268</v>
      </c>
      <c r="AE85" s="186">
        <f t="shared" si="231"/>
        <v>800</v>
      </c>
      <c r="AF85" s="190">
        <f t="shared" si="232"/>
        <v>0.50375939849624063</v>
      </c>
      <c r="AG85" s="83">
        <f>'Ανάλυση για νέους πελάτες'!G14+'Ανάλυση για νέους πελάτες'!G54+'Ανάλυση για νέους πελάτες'!G74+'Ανάλυση για νέους πελάτες'!G94+'Ανάλυση για νέους πελάτες'!G114</f>
        <v>68</v>
      </c>
      <c r="AH85" s="186">
        <f t="shared" si="233"/>
        <v>868</v>
      </c>
      <c r="AI85" s="190">
        <f t="shared" si="234"/>
        <v>8.5000000000000006E-2</v>
      </c>
      <c r="AJ85" s="83">
        <f>'Ανάλυση για νέους πελάτες'!H14+'Ανάλυση για νέους πελάτες'!H54+'Ανάλυση για νέους πελάτες'!H74+'Ανάλυση για νέους πελάτες'!H94+'Ανάλυση για νέους πελάτες'!H114</f>
        <v>14</v>
      </c>
      <c r="AK85" s="186">
        <f t="shared" si="235"/>
        <v>882</v>
      </c>
      <c r="AL85" s="190">
        <f t="shared" si="236"/>
        <v>1.6129032258064516E-2</v>
      </c>
      <c r="AM85" s="181">
        <f t="shared" ref="AM85:AM97" si="237">X85+AA85+AD85+AG85+AJ85</f>
        <v>882</v>
      </c>
      <c r="AN85" s="192">
        <f t="shared" ref="AN85:AN100" si="238">IFERROR((AK85/Y85)^(1/4)-1,0)</f>
        <v>0.38169855941551489</v>
      </c>
    </row>
    <row r="86" spans="2:40" outlineLevel="1" x14ac:dyDescent="0.25">
      <c r="B86" s="52" t="s">
        <v>285</v>
      </c>
      <c r="C86" s="64" t="s">
        <v>22</v>
      </c>
      <c r="D86" s="83">
        <v>0</v>
      </c>
      <c r="E86" s="83">
        <v>0</v>
      </c>
      <c r="F86" s="83">
        <v>0</v>
      </c>
      <c r="G86" s="186">
        <f t="shared" si="221"/>
        <v>0</v>
      </c>
      <c r="H86" s="190">
        <f t="shared" si="222"/>
        <v>0</v>
      </c>
      <c r="I86" s="83">
        <v>0</v>
      </c>
      <c r="J86" s="186">
        <f t="shared" si="2"/>
        <v>0</v>
      </c>
      <c r="K86" s="190">
        <f t="shared" si="3"/>
        <v>0</v>
      </c>
      <c r="L86" s="83">
        <v>0</v>
      </c>
      <c r="M86" s="186">
        <f t="shared" si="4"/>
        <v>0</v>
      </c>
      <c r="N86" s="190">
        <f t="shared" si="5"/>
        <v>0</v>
      </c>
      <c r="O86" s="83"/>
      <c r="P86" s="150"/>
      <c r="Q86" s="152"/>
      <c r="R86" s="83"/>
      <c r="S86" s="186">
        <f t="shared" si="223"/>
        <v>0</v>
      </c>
      <c r="T86" s="190">
        <f t="shared" si="224"/>
        <v>0</v>
      </c>
      <c r="U86" s="181">
        <f t="shared" si="225"/>
        <v>0</v>
      </c>
      <c r="V86" s="192">
        <f t="shared" si="226"/>
        <v>0</v>
      </c>
      <c r="X86" s="83">
        <f>'Ανάλυση για νέους πελάτες'!D15+'Ανάλυση για νέους πελάτες'!D55+'Ανάλυση για νέους πελάτες'!D75+'Ανάλυση για νέους πελάτες'!D95+'Ανάλυση για νέους πελάτες'!D115</f>
        <v>240</v>
      </c>
      <c r="Y86" s="186">
        <f t="shared" si="227"/>
        <v>240</v>
      </c>
      <c r="Z86" s="190">
        <f t="shared" si="228"/>
        <v>0</v>
      </c>
      <c r="AA86" s="83">
        <f>'Ανάλυση για νέους πελάτες'!E15+'Ανάλυση για νέους πελάτες'!E55+'Ανάλυση για νέους πελάτες'!E75+'Ανάλυση για νέους πελάτες'!E95+'Ανάλυση για νέους πελάτες'!E115</f>
        <v>284</v>
      </c>
      <c r="AB86" s="186">
        <f t="shared" si="229"/>
        <v>524</v>
      </c>
      <c r="AC86" s="190">
        <f t="shared" si="230"/>
        <v>1.1833333333333333</v>
      </c>
      <c r="AD86" s="83">
        <f>'Ανάλυση για νέους πελάτες'!F15+'Ανάλυση για νέους πελάτες'!F55+'Ανάλυση για νέους πελάτες'!F75+'Ανάλυση για νέους πελάτες'!F95+'Ανάλυση για νέους πελάτες'!F115</f>
        <v>226</v>
      </c>
      <c r="AE86" s="186">
        <f t="shared" si="231"/>
        <v>750</v>
      </c>
      <c r="AF86" s="190">
        <f t="shared" si="232"/>
        <v>0.43129770992366412</v>
      </c>
      <c r="AG86" s="83">
        <f>'Ανάλυση για νέους πελάτες'!G15+'Ανάλυση για νέους πελάτες'!G55+'Ανάλυση για νέους πελάτες'!G75+'Ανάλυση για νέους πελάτες'!G95+'Ανάλυση για νέους πελάτες'!G115</f>
        <v>69</v>
      </c>
      <c r="AH86" s="186">
        <f t="shared" si="233"/>
        <v>819</v>
      </c>
      <c r="AI86" s="190">
        <f t="shared" si="234"/>
        <v>9.1999999999999998E-2</v>
      </c>
      <c r="AJ86" s="83">
        <f>'Ανάλυση για νέους πελάτες'!H15+'Ανάλυση για νέους πελάτες'!H55+'Ανάλυση για νέους πελάτες'!H75+'Ανάλυση για νέους πελάτες'!H95+'Ανάλυση για νέους πελάτες'!H115</f>
        <v>36</v>
      </c>
      <c r="AK86" s="186">
        <f t="shared" si="235"/>
        <v>855</v>
      </c>
      <c r="AL86" s="190">
        <f t="shared" si="236"/>
        <v>4.3956043956043959E-2</v>
      </c>
      <c r="AM86" s="181">
        <f t="shared" si="237"/>
        <v>855</v>
      </c>
      <c r="AN86" s="192">
        <f t="shared" si="238"/>
        <v>0.37384810252723621</v>
      </c>
    </row>
    <row r="87" spans="2:40" outlineLevel="1" x14ac:dyDescent="0.25">
      <c r="B87" s="52" t="s">
        <v>286</v>
      </c>
      <c r="C87" s="64" t="s">
        <v>22</v>
      </c>
      <c r="D87" s="83">
        <v>0</v>
      </c>
      <c r="E87" s="83">
        <v>0</v>
      </c>
      <c r="F87" s="83">
        <v>0</v>
      </c>
      <c r="G87" s="187">
        <f t="shared" ref="G87:G90" si="239">E87+F87</f>
        <v>0</v>
      </c>
      <c r="H87" s="191">
        <f t="shared" ref="H87:H90" si="240">IFERROR((G87-E87)/E87,0)</f>
        <v>0</v>
      </c>
      <c r="I87" s="83">
        <v>0</v>
      </c>
      <c r="J87" s="187">
        <f t="shared" ref="J87:J90" si="241">G87+I87</f>
        <v>0</v>
      </c>
      <c r="K87" s="191">
        <f t="shared" ref="K87:K90" si="242">IFERROR((J87-G87)/G87,0)</f>
        <v>0</v>
      </c>
      <c r="L87" s="83">
        <v>0</v>
      </c>
      <c r="M87" s="187">
        <f t="shared" ref="M87:M90" si="243">J87+L87</f>
        <v>0</v>
      </c>
      <c r="N87" s="191">
        <f t="shared" ref="N87:N90" si="244">IFERROR((M87-J87)/J87,0)</f>
        <v>0</v>
      </c>
      <c r="O87" s="85"/>
      <c r="P87" s="152"/>
      <c r="Q87" s="152"/>
      <c r="R87" s="85"/>
      <c r="S87" s="186">
        <f t="shared" ref="S87:S90" si="245">M87+R87</f>
        <v>0</v>
      </c>
      <c r="T87" s="191">
        <f t="shared" ref="T87:T90" si="246">IFERROR((S87-M87)/M87,0)</f>
        <v>0</v>
      </c>
      <c r="U87" s="181">
        <f t="shared" ref="U87:U90" si="247">D87+F87+I87+L87+R87</f>
        <v>0</v>
      </c>
      <c r="V87" s="192">
        <f t="shared" si="226"/>
        <v>0</v>
      </c>
      <c r="X87" s="83">
        <f>'Ανάλυση για νέους πελάτες'!D16+'Ανάλυση για νέους πελάτες'!D56+'Ανάλυση για νέους πελάτες'!D76+'Ανάλυση για νέους πελάτες'!D96+'Ανάλυση για νέους πελάτες'!D116</f>
        <v>274</v>
      </c>
      <c r="Y87" s="186">
        <f t="shared" ref="Y87:Y90" si="248">S87+X87</f>
        <v>274</v>
      </c>
      <c r="Z87" s="191">
        <f t="shared" ref="Z87:Z90" si="249">IFERROR((Y87-S87)/S87,0)</f>
        <v>0</v>
      </c>
      <c r="AA87" s="83">
        <f>'Ανάλυση για νέους πελάτες'!E16+'Ανάλυση για νέους πελάτες'!E56+'Ανάλυση για νέους πελάτες'!E76+'Ανάλυση για νέους πελάτες'!E96+'Ανάλυση για νέους πελάτες'!E116</f>
        <v>1157</v>
      </c>
      <c r="AB87" s="187">
        <f t="shared" ref="AB87:AB90" si="250">Y87+AA87</f>
        <v>1431</v>
      </c>
      <c r="AC87" s="191">
        <f t="shared" ref="AC87:AC90" si="251">IFERROR((AB87-Y87)/Y87,0)</f>
        <v>4.2226277372262775</v>
      </c>
      <c r="AD87" s="83">
        <f>'Ανάλυση για νέους πελάτες'!F16+'Ανάλυση για νέους πελάτες'!F56+'Ανάλυση για νέους πελάτες'!F76+'Ανάλυση για νέους πελάτες'!F96+'Ανάλυση για νέους πελάτες'!F116</f>
        <v>820</v>
      </c>
      <c r="AE87" s="187">
        <f t="shared" ref="AE87:AE90" si="252">AB87+AD87</f>
        <v>2251</v>
      </c>
      <c r="AF87" s="191">
        <f t="shared" ref="AF87:AF90" si="253">IFERROR((AE87-AB87)/AB87,0)</f>
        <v>0.573025856044724</v>
      </c>
      <c r="AG87" s="83">
        <f>'Ανάλυση για νέους πελάτες'!G16+'Ανάλυση για νέους πελάτες'!G56+'Ανάλυση για νέους πελάτες'!G76+'Ανάλυση για νέους πελάτες'!G96+'Ανάλυση για νέους πελάτες'!G116</f>
        <v>302</v>
      </c>
      <c r="AH87" s="187">
        <f t="shared" ref="AH87:AH90" si="254">AE87+AG87</f>
        <v>2553</v>
      </c>
      <c r="AI87" s="191">
        <f t="shared" ref="AI87:AI90" si="255">IFERROR((AH87-AE87)/AE87,0)</f>
        <v>0.13416259440248779</v>
      </c>
      <c r="AJ87" s="83">
        <f>'Ανάλυση για νέους πελάτες'!H16+'Ανάλυση για νέους πελάτες'!H56+'Ανάλυση για νέους πελάτες'!H76+'Ανάλυση για νέους πελάτες'!H96+'Ανάλυση για νέους πελάτες'!H116</f>
        <v>152</v>
      </c>
      <c r="AK87" s="187">
        <f t="shared" ref="AK87:AK90" si="256">AH87+AJ87</f>
        <v>2705</v>
      </c>
      <c r="AL87" s="191">
        <f t="shared" ref="AL87:AL90" si="257">IFERROR((AK87-AH87)/AH87,0)</f>
        <v>5.9537798668233451E-2</v>
      </c>
      <c r="AM87" s="181">
        <f t="shared" ref="AM87:AM90" si="258">X87+AA87+AD87+AG87+AJ87</f>
        <v>2705</v>
      </c>
      <c r="AN87" s="192">
        <f t="shared" ref="AN87:AN90" si="259">IFERROR((AK87/Y87)^(1/4)-1,0)</f>
        <v>0.77257319122478463</v>
      </c>
    </row>
    <row r="88" spans="2:40" outlineLevel="1" x14ac:dyDescent="0.25">
      <c r="B88" s="52" t="s">
        <v>287</v>
      </c>
      <c r="C88" s="64" t="s">
        <v>22</v>
      </c>
      <c r="D88" s="83">
        <v>0</v>
      </c>
      <c r="E88" s="83">
        <v>0</v>
      </c>
      <c r="F88" s="83">
        <v>0</v>
      </c>
      <c r="G88" s="187">
        <f t="shared" si="239"/>
        <v>0</v>
      </c>
      <c r="H88" s="191">
        <f t="shared" si="240"/>
        <v>0</v>
      </c>
      <c r="I88" s="83">
        <v>0</v>
      </c>
      <c r="J88" s="187">
        <f t="shared" si="241"/>
        <v>0</v>
      </c>
      <c r="K88" s="191">
        <f t="shared" si="242"/>
        <v>0</v>
      </c>
      <c r="L88" s="83">
        <v>0</v>
      </c>
      <c r="M88" s="187">
        <f t="shared" si="243"/>
        <v>0</v>
      </c>
      <c r="N88" s="191">
        <f t="shared" si="244"/>
        <v>0</v>
      </c>
      <c r="O88" s="85"/>
      <c r="P88" s="152"/>
      <c r="Q88" s="152"/>
      <c r="R88" s="85"/>
      <c r="S88" s="186">
        <f t="shared" si="245"/>
        <v>0</v>
      </c>
      <c r="T88" s="191">
        <f t="shared" si="246"/>
        <v>0</v>
      </c>
      <c r="U88" s="181">
        <f t="shared" si="247"/>
        <v>0</v>
      </c>
      <c r="V88" s="192">
        <f t="shared" si="226"/>
        <v>0</v>
      </c>
      <c r="X88" s="83">
        <f>'Ανάλυση για νέους πελάτες'!D17+'Ανάλυση για νέους πελάτες'!D57+'Ανάλυση για νέους πελάτες'!D77+'Ανάλυση για νέους πελάτες'!D97+'Ανάλυση για νέους πελάτες'!D117</f>
        <v>0</v>
      </c>
      <c r="Y88" s="186">
        <f t="shared" si="248"/>
        <v>0</v>
      </c>
      <c r="Z88" s="191">
        <f t="shared" si="249"/>
        <v>0</v>
      </c>
      <c r="AA88" s="83">
        <f>'Ανάλυση για νέους πελάτες'!E17+'Ανάλυση για νέους πελάτες'!E57+'Ανάλυση για νέους πελάτες'!E77+'Ανάλυση για νέους πελάτες'!E97+'Ανάλυση για νέους πελάτες'!E117</f>
        <v>1034</v>
      </c>
      <c r="AB88" s="187">
        <f t="shared" si="250"/>
        <v>1034</v>
      </c>
      <c r="AC88" s="191">
        <f t="shared" si="251"/>
        <v>0</v>
      </c>
      <c r="AD88" s="83">
        <f>'Ανάλυση για νέους πελάτες'!F17+'Ανάλυση για νέους πελάτες'!F57+'Ανάλυση για νέους πελάτες'!F77+'Ανάλυση για νέους πελάτες'!F97+'Ανάλυση για νέους πελάτες'!F117</f>
        <v>809</v>
      </c>
      <c r="AE88" s="187">
        <f t="shared" si="252"/>
        <v>1843</v>
      </c>
      <c r="AF88" s="191">
        <f t="shared" si="253"/>
        <v>0.78239845261121854</v>
      </c>
      <c r="AG88" s="83">
        <f>'Ανάλυση για νέους πελάτες'!G17+'Ανάλυση για νέους πελάτες'!G57+'Ανάλυση για νέους πελάτες'!G77+'Ανάλυση για νέους πελάτες'!G97+'Ανάλυση για νέους πελάτες'!G117</f>
        <v>699</v>
      </c>
      <c r="AH88" s="187">
        <f t="shared" si="254"/>
        <v>2542</v>
      </c>
      <c r="AI88" s="191">
        <f t="shared" si="255"/>
        <v>0.37927292457948997</v>
      </c>
      <c r="AJ88" s="83">
        <f>'Ανάλυση για νέους πελάτες'!H17+'Ανάλυση για νέους πελάτες'!H57+'Ανάλυση για νέους πελάτες'!H77+'Ανάλυση για νέους πελάτες'!H97+'Ανάλυση για νέους πελάτες'!H117</f>
        <v>353</v>
      </c>
      <c r="AK88" s="187">
        <f t="shared" si="256"/>
        <v>2895</v>
      </c>
      <c r="AL88" s="191">
        <f t="shared" si="257"/>
        <v>0.13886703383162863</v>
      </c>
      <c r="AM88" s="181">
        <f t="shared" si="258"/>
        <v>2895</v>
      </c>
      <c r="AN88" s="192">
        <f t="shared" si="259"/>
        <v>0</v>
      </c>
    </row>
    <row r="89" spans="2:40" outlineLevel="1" x14ac:dyDescent="0.25">
      <c r="B89" s="52" t="s">
        <v>288</v>
      </c>
      <c r="C89" s="64" t="s">
        <v>22</v>
      </c>
      <c r="D89" s="83">
        <v>0</v>
      </c>
      <c r="E89" s="83">
        <v>0</v>
      </c>
      <c r="F89" s="83">
        <v>0</v>
      </c>
      <c r="G89" s="187">
        <f t="shared" ref="G89" si="260">E89+F89</f>
        <v>0</v>
      </c>
      <c r="H89" s="191">
        <f t="shared" ref="H89" si="261">IFERROR((G89-E89)/E89,0)</f>
        <v>0</v>
      </c>
      <c r="I89" s="83">
        <v>0</v>
      </c>
      <c r="J89" s="187">
        <f t="shared" ref="J89" si="262">G89+I89</f>
        <v>0</v>
      </c>
      <c r="K89" s="191">
        <f t="shared" ref="K89" si="263">IFERROR((J89-G89)/G89,0)</f>
        <v>0</v>
      </c>
      <c r="L89" s="83">
        <v>0</v>
      </c>
      <c r="M89" s="187">
        <f t="shared" ref="M89" si="264">J89+L89</f>
        <v>0</v>
      </c>
      <c r="N89" s="191">
        <f t="shared" ref="N89" si="265">IFERROR((M89-J89)/J89,0)</f>
        <v>0</v>
      </c>
      <c r="O89" s="85"/>
      <c r="P89" s="152"/>
      <c r="Q89" s="152"/>
      <c r="R89" s="85"/>
      <c r="S89" s="186">
        <f t="shared" ref="S89" si="266">M89+R89</f>
        <v>0</v>
      </c>
      <c r="T89" s="191">
        <f t="shared" ref="T89" si="267">IFERROR((S89-M89)/M89,0)</f>
        <v>0</v>
      </c>
      <c r="U89" s="181">
        <f t="shared" ref="U89" si="268">D89+F89+I89+L89+R89</f>
        <v>0</v>
      </c>
      <c r="V89" s="192">
        <f t="shared" si="226"/>
        <v>0</v>
      </c>
      <c r="X89" s="83">
        <f>'Ανάλυση για νέους πελάτες'!D18+'Ανάλυση για νέους πελάτες'!D58+'Ανάλυση για νέους πελάτες'!D78+'Ανάλυση για νέους πελάτες'!D98+'Ανάλυση για νέους πελάτες'!D118</f>
        <v>283</v>
      </c>
      <c r="Y89" s="186">
        <f t="shared" ref="Y89" si="269">S89+X89</f>
        <v>283</v>
      </c>
      <c r="Z89" s="191">
        <f t="shared" ref="Z89" si="270">IFERROR((Y89-S89)/S89,0)</f>
        <v>0</v>
      </c>
      <c r="AA89" s="83">
        <f>'Ανάλυση για νέους πελάτες'!E18+'Ανάλυση για νέους πελάτες'!E58+'Ανάλυση για νέους πελάτες'!E78+'Ανάλυση για νέους πελάτες'!E98+'Ανάλυση για νέους πελάτες'!E118</f>
        <v>370</v>
      </c>
      <c r="AB89" s="187">
        <f t="shared" ref="AB89" si="271">Y89+AA89</f>
        <v>653</v>
      </c>
      <c r="AC89" s="191">
        <f t="shared" ref="AC89" si="272">IFERROR((AB89-Y89)/Y89,0)</f>
        <v>1.3074204946996466</v>
      </c>
      <c r="AD89" s="83">
        <f>'Ανάλυση για νέους πελάτες'!F18+'Ανάλυση για νέους πελάτες'!F58+'Ανάλυση για νέους πελάτες'!F78+'Ανάλυση για νέους πελάτες'!F98+'Ανάλυση για νέους πελάτες'!F118</f>
        <v>231</v>
      </c>
      <c r="AE89" s="187">
        <f t="shared" ref="AE89" si="273">AB89+AD89</f>
        <v>884</v>
      </c>
      <c r="AF89" s="191">
        <f t="shared" ref="AF89" si="274">IFERROR((AE89-AB89)/AB89,0)</f>
        <v>0.35375191424196017</v>
      </c>
      <c r="AG89" s="83">
        <f>'Ανάλυση για νέους πελάτες'!G18+'Ανάλυση για νέους πελάτες'!G58+'Ανάλυση για νέους πελάτες'!G78+'Ανάλυση για νέους πελάτες'!G98+'Ανάλυση για νέους πελάτες'!G118</f>
        <v>54</v>
      </c>
      <c r="AH89" s="187">
        <f t="shared" ref="AH89" si="275">AE89+AG89</f>
        <v>938</v>
      </c>
      <c r="AI89" s="191">
        <f t="shared" ref="AI89" si="276">IFERROR((AH89-AE89)/AE89,0)</f>
        <v>6.1085972850678731E-2</v>
      </c>
      <c r="AJ89" s="83">
        <f>'Ανάλυση για νέους πελάτες'!H18+'Ανάλυση για νέους πελάτες'!H58+'Ανάλυση για νέους πελάτες'!H78+'Ανάλυση για νέους πελάτες'!H98+'Ανάλυση για νέους πελάτες'!H118</f>
        <v>27</v>
      </c>
      <c r="AK89" s="187">
        <f t="shared" ref="AK89" si="277">AH89+AJ89</f>
        <v>965</v>
      </c>
      <c r="AL89" s="191">
        <f t="shared" ref="AL89" si="278">IFERROR((AK89-AH89)/AH89,0)</f>
        <v>2.8784648187633263E-2</v>
      </c>
      <c r="AM89" s="181">
        <f t="shared" ref="AM89" si="279">X89+AA89+AD89+AG89+AJ89</f>
        <v>965</v>
      </c>
      <c r="AN89" s="192">
        <f t="shared" ref="AN89" si="280">IFERROR((AK89/Y89)^(1/4)-1,0)</f>
        <v>0.35889286848382196</v>
      </c>
    </row>
    <row r="90" spans="2:40" outlineLevel="1" x14ac:dyDescent="0.25">
      <c r="B90" s="52" t="s">
        <v>289</v>
      </c>
      <c r="C90" s="64" t="s">
        <v>22</v>
      </c>
      <c r="D90" s="83">
        <v>0</v>
      </c>
      <c r="E90" s="83">
        <v>0</v>
      </c>
      <c r="F90" s="83">
        <v>0</v>
      </c>
      <c r="G90" s="187">
        <f t="shared" si="239"/>
        <v>0</v>
      </c>
      <c r="H90" s="191">
        <f t="shared" si="240"/>
        <v>0</v>
      </c>
      <c r="I90" s="83">
        <v>0</v>
      </c>
      <c r="J90" s="187">
        <f t="shared" si="241"/>
        <v>0</v>
      </c>
      <c r="K90" s="191">
        <f t="shared" si="242"/>
        <v>0</v>
      </c>
      <c r="L90" s="83">
        <v>0</v>
      </c>
      <c r="M90" s="187">
        <f t="shared" si="243"/>
        <v>0</v>
      </c>
      <c r="N90" s="191">
        <f t="shared" si="244"/>
        <v>0</v>
      </c>
      <c r="O90" s="85"/>
      <c r="P90" s="152"/>
      <c r="Q90" s="152"/>
      <c r="R90" s="85"/>
      <c r="S90" s="186">
        <f t="shared" si="245"/>
        <v>0</v>
      </c>
      <c r="T90" s="191">
        <f t="shared" si="246"/>
        <v>0</v>
      </c>
      <c r="U90" s="181">
        <f t="shared" si="247"/>
        <v>0</v>
      </c>
      <c r="V90" s="192">
        <f t="shared" si="226"/>
        <v>0</v>
      </c>
      <c r="X90" s="83">
        <f>'Ανάλυση για νέους πελάτες'!D19+'Ανάλυση για νέους πελάτες'!D59+'Ανάλυση για νέους πελάτες'!D79+'Ανάλυση για νέους πελάτες'!D99+'Ανάλυση για νέους πελάτες'!D119</f>
        <v>557</v>
      </c>
      <c r="Y90" s="186">
        <f t="shared" si="248"/>
        <v>557</v>
      </c>
      <c r="Z90" s="191">
        <f t="shared" si="249"/>
        <v>0</v>
      </c>
      <c r="AA90" s="83">
        <f>'Ανάλυση για νέους πελάτες'!E19+'Ανάλυση για νέους πελάτες'!E59+'Ανάλυση για νέους πελάτες'!E79+'Ανάλυση για νέους πελάτες'!E99+'Ανάλυση για νέους πελάτες'!E119</f>
        <v>1681</v>
      </c>
      <c r="AB90" s="187">
        <f t="shared" si="250"/>
        <v>2238</v>
      </c>
      <c r="AC90" s="191">
        <f t="shared" si="251"/>
        <v>3.0179533213644523</v>
      </c>
      <c r="AD90" s="83">
        <f>'Ανάλυση για νέους πελάτες'!F19+'Ανάλυση για νέους πελάτες'!F59+'Ανάλυση για νέους πελάτες'!F79+'Ανάλυση για νέους πελάτες'!F99+'Ανάλυση για νέους πελάτες'!F119</f>
        <v>1102</v>
      </c>
      <c r="AE90" s="187">
        <f t="shared" si="252"/>
        <v>3340</v>
      </c>
      <c r="AF90" s="191">
        <f t="shared" si="253"/>
        <v>0.49240393208221628</v>
      </c>
      <c r="AG90" s="83">
        <f>'Ανάλυση για νέους πελάτες'!G19+'Ανάλυση για νέους πελάτες'!G59+'Ανάλυση για νέους πελάτες'!G79+'Ανάλυση για νέους πελάτες'!G99+'Ανάλυση για νέους πελάτες'!G119</f>
        <v>1073</v>
      </c>
      <c r="AH90" s="187">
        <f t="shared" si="254"/>
        <v>4413</v>
      </c>
      <c r="AI90" s="191">
        <f t="shared" si="255"/>
        <v>0.32125748502994012</v>
      </c>
      <c r="AJ90" s="83">
        <f>'Ανάλυση για νέους πελάτες'!H19+'Ανάλυση για νέους πελάτες'!H59+'Ανάλυση για νέους πελάτες'!H79+'Ανάλυση για νέους πελάτες'!H99+'Ανάλυση για νέους πελάτες'!H119</f>
        <v>537</v>
      </c>
      <c r="AK90" s="187">
        <f t="shared" si="256"/>
        <v>4950</v>
      </c>
      <c r="AL90" s="191">
        <f t="shared" si="257"/>
        <v>0.12168592794017676</v>
      </c>
      <c r="AM90" s="181">
        <f t="shared" si="258"/>
        <v>4950</v>
      </c>
      <c r="AN90" s="192">
        <f t="shared" si="259"/>
        <v>0.72658316070698103</v>
      </c>
    </row>
    <row r="91" spans="2:40" outlineLevel="1" x14ac:dyDescent="0.25">
      <c r="B91" s="52" t="s">
        <v>290</v>
      </c>
      <c r="C91" s="64" t="s">
        <v>22</v>
      </c>
      <c r="D91" s="83">
        <v>0</v>
      </c>
      <c r="E91" s="83">
        <v>0</v>
      </c>
      <c r="F91" s="83">
        <v>0</v>
      </c>
      <c r="G91" s="187">
        <f t="shared" ref="G91" si="281">E91+F91</f>
        <v>0</v>
      </c>
      <c r="H91" s="191">
        <f t="shared" ref="H91" si="282">IFERROR((G91-E91)/E91,0)</f>
        <v>0</v>
      </c>
      <c r="I91" s="83">
        <v>0</v>
      </c>
      <c r="J91" s="187">
        <f t="shared" ref="J91" si="283">G91+I91</f>
        <v>0</v>
      </c>
      <c r="K91" s="191">
        <f t="shared" ref="K91" si="284">IFERROR((J91-G91)/G91,0)</f>
        <v>0</v>
      </c>
      <c r="L91" s="83">
        <v>0</v>
      </c>
      <c r="M91" s="187">
        <f t="shared" ref="M91" si="285">J91+L91</f>
        <v>0</v>
      </c>
      <c r="N91" s="191">
        <f t="shared" ref="N91" si="286">IFERROR((M91-J91)/J91,0)</f>
        <v>0</v>
      </c>
      <c r="O91" s="85"/>
      <c r="P91" s="152"/>
      <c r="Q91" s="152"/>
      <c r="R91" s="85"/>
      <c r="S91" s="186">
        <f t="shared" ref="S91" si="287">M91+R91</f>
        <v>0</v>
      </c>
      <c r="T91" s="191">
        <f t="shared" ref="T91" si="288">IFERROR((S91-M91)/M91,0)</f>
        <v>0</v>
      </c>
      <c r="U91" s="181">
        <f t="shared" ref="U91" si="289">D91+F91+I91+L91+R91</f>
        <v>0</v>
      </c>
      <c r="V91" s="192">
        <f t="shared" si="226"/>
        <v>0</v>
      </c>
      <c r="X91" s="83">
        <f>'Ανάλυση για νέους πελάτες'!D20+'Ανάλυση για νέους πελάτες'!D60+'Ανάλυση για νέους πελάτες'!D80+'Ανάλυση για νέους πελάτες'!D100+'Ανάλυση για νέους πελάτες'!D120</f>
        <v>530</v>
      </c>
      <c r="Y91" s="186">
        <f t="shared" ref="Y91" si="290">S91+X91</f>
        <v>530</v>
      </c>
      <c r="Z91" s="191">
        <f t="shared" ref="Z91" si="291">IFERROR((Y91-S91)/S91,0)</f>
        <v>0</v>
      </c>
      <c r="AA91" s="83">
        <f>'Ανάλυση για νέους πελάτες'!E20+'Ανάλυση για νέους πελάτες'!E60+'Ανάλυση για νέους πελάτες'!E80+'Ανάλυση για νέους πελάτες'!E100+'Ανάλυση για νέους πελάτες'!E120</f>
        <v>1515</v>
      </c>
      <c r="AB91" s="187">
        <f t="shared" ref="AB91" si="292">Y91+AA91</f>
        <v>2045</v>
      </c>
      <c r="AC91" s="191">
        <f t="shared" ref="AC91" si="293">IFERROR((AB91-Y91)/Y91,0)</f>
        <v>2.858490566037736</v>
      </c>
      <c r="AD91" s="83">
        <f>'Ανάλυση για νέους πελάτες'!F20+'Ανάλυση για νέους πελάτες'!F60+'Ανάλυση για νέους πελάτες'!F80+'Ανάλυση για νέους πελάτες'!F100+'Ανάλυση για νέους πελάτες'!F120</f>
        <v>1275</v>
      </c>
      <c r="AE91" s="187">
        <f t="shared" ref="AE91" si="294">AB91+AD91</f>
        <v>3320</v>
      </c>
      <c r="AF91" s="191">
        <f t="shared" ref="AF91" si="295">IFERROR((AE91-AB91)/AB91,0)</f>
        <v>0.62347188264058684</v>
      </c>
      <c r="AG91" s="83">
        <f>'Ανάλυση για νέους πελάτες'!G20+'Ανάλυση για νέους πελάτες'!G60+'Ανάλυση για νέους πελάτες'!G80+'Ανάλυση για νέους πελάτες'!G100+'Ανάλυση για νέους πελάτες'!G120</f>
        <v>1075</v>
      </c>
      <c r="AH91" s="187">
        <f t="shared" ref="AH91" si="296">AE91+AG91</f>
        <v>4395</v>
      </c>
      <c r="AI91" s="191">
        <f t="shared" ref="AI91" si="297">IFERROR((AH91-AE91)/AE91,0)</f>
        <v>0.32379518072289154</v>
      </c>
      <c r="AJ91" s="83">
        <f>'Ανάλυση για νέους πελάτες'!H20+'Ανάλυση για νέους πελάτες'!H60+'Ανάλυση για νέους πελάτες'!H80+'Ανάλυση για νέους πελάτες'!H100+'Ανάλυση για νέους πελάτες'!H120</f>
        <v>537</v>
      </c>
      <c r="AK91" s="187">
        <f t="shared" ref="AK91" si="298">AH91+AJ91</f>
        <v>4932</v>
      </c>
      <c r="AL91" s="191">
        <f t="shared" ref="AL91" si="299">IFERROR((AK91-AH91)/AH91,0)</f>
        <v>0.12218430034129693</v>
      </c>
      <c r="AM91" s="181">
        <f t="shared" ref="AM91" si="300">X91+AA91+AD91+AG91+AJ91</f>
        <v>4932</v>
      </c>
      <c r="AN91" s="192">
        <f t="shared" ref="AN91" si="301">IFERROR((AK91/Y91)^(1/4)-1,0)</f>
        <v>0.74657323083024174</v>
      </c>
    </row>
    <row r="92" spans="2:40" outlineLevel="1" x14ac:dyDescent="0.25">
      <c r="B92" s="52" t="s">
        <v>291</v>
      </c>
      <c r="C92" s="64" t="s">
        <v>22</v>
      </c>
      <c r="D92" s="83">
        <v>0</v>
      </c>
      <c r="E92" s="83">
        <v>0</v>
      </c>
      <c r="F92" s="83">
        <v>0</v>
      </c>
      <c r="G92" s="187">
        <f t="shared" si="221"/>
        <v>0</v>
      </c>
      <c r="H92" s="191">
        <f t="shared" si="222"/>
        <v>0</v>
      </c>
      <c r="I92" s="83">
        <v>0</v>
      </c>
      <c r="J92" s="187">
        <f t="shared" si="2"/>
        <v>0</v>
      </c>
      <c r="K92" s="191">
        <f t="shared" si="3"/>
        <v>0</v>
      </c>
      <c r="L92" s="83">
        <v>0</v>
      </c>
      <c r="M92" s="187">
        <f t="shared" si="4"/>
        <v>0</v>
      </c>
      <c r="N92" s="191">
        <f t="shared" si="5"/>
        <v>0</v>
      </c>
      <c r="O92" s="85">
        <v>5</v>
      </c>
      <c r="P92" s="152"/>
      <c r="Q92" s="152"/>
      <c r="R92" s="85">
        <v>300</v>
      </c>
      <c r="S92" s="186">
        <f t="shared" si="223"/>
        <v>300</v>
      </c>
      <c r="T92" s="191">
        <f t="shared" si="224"/>
        <v>0</v>
      </c>
      <c r="U92" s="181">
        <f t="shared" si="225"/>
        <v>300</v>
      </c>
      <c r="V92" s="192">
        <f t="shared" si="226"/>
        <v>0</v>
      </c>
      <c r="X92" s="83">
        <f>'Ανάλυση για νέους πελάτες'!D21+'Ανάλυση για νέους πελάτες'!D61+'Ανάλυση για νέους πελάτες'!D81+'Ανάλυση για νέους πελάτες'!D101+'Ανάλυση για νέους πελάτες'!D121</f>
        <v>260</v>
      </c>
      <c r="Y92" s="186">
        <f t="shared" si="227"/>
        <v>560</v>
      </c>
      <c r="Z92" s="191">
        <f t="shared" si="228"/>
        <v>0.8666666666666667</v>
      </c>
      <c r="AA92" s="83">
        <f>'Ανάλυση για νέους πελάτες'!E21+'Ανάλυση για νέους πελάτες'!E61+'Ανάλυση για νέους πελάτες'!E81+'Ανάλυση για νέους πελάτες'!E101+'Ανάλυση για νέους πελάτες'!E121</f>
        <v>145</v>
      </c>
      <c r="AB92" s="187">
        <f t="shared" si="229"/>
        <v>705</v>
      </c>
      <c r="AC92" s="191">
        <f t="shared" si="230"/>
        <v>0.25892857142857145</v>
      </c>
      <c r="AD92" s="83">
        <f>'Ανάλυση για νέους πελάτες'!F21+'Ανάλυση για νέους πελάτες'!F61+'Ανάλυση για νέους πελάτες'!F81+'Ανάλυση για νέους πελάτες'!F101+'Ανάλυση για νέους πελάτες'!F121</f>
        <v>34</v>
      </c>
      <c r="AE92" s="187">
        <f t="shared" si="231"/>
        <v>739</v>
      </c>
      <c r="AF92" s="191">
        <f t="shared" si="232"/>
        <v>4.8226950354609929E-2</v>
      </c>
      <c r="AG92" s="83">
        <f>'Ανάλυση για νέους πελάτες'!G21+'Ανάλυση για νέους πελάτες'!G61+'Ανάλυση για νέους πελάτες'!G81+'Ανάλυση για νέους πελάτες'!G101+'Ανάλυση για νέους πελάτες'!G121</f>
        <v>30</v>
      </c>
      <c r="AH92" s="187">
        <f t="shared" si="233"/>
        <v>769</v>
      </c>
      <c r="AI92" s="191">
        <f t="shared" si="234"/>
        <v>4.0595399188092018E-2</v>
      </c>
      <c r="AJ92" s="83">
        <f>'Ανάλυση για νέους πελάτες'!H21+'Ανάλυση για νέους πελάτες'!H61+'Ανάλυση για νέους πελάτες'!H81+'Ανάλυση για νέους πελάτες'!H101+'Ανάλυση για νέους πελάτες'!H121</f>
        <v>20</v>
      </c>
      <c r="AK92" s="187">
        <f t="shared" si="235"/>
        <v>789</v>
      </c>
      <c r="AL92" s="191">
        <f t="shared" si="236"/>
        <v>2.600780234070221E-2</v>
      </c>
      <c r="AM92" s="181">
        <f t="shared" si="237"/>
        <v>489</v>
      </c>
      <c r="AN92" s="192">
        <f t="shared" si="238"/>
        <v>8.9487480493022575E-2</v>
      </c>
    </row>
    <row r="93" spans="2:40" outlineLevel="1" x14ac:dyDescent="0.25">
      <c r="B93" s="52" t="s">
        <v>307</v>
      </c>
      <c r="C93" s="64" t="s">
        <v>22</v>
      </c>
      <c r="D93" s="83"/>
      <c r="E93" s="83"/>
      <c r="F93" s="83"/>
      <c r="G93" s="187"/>
      <c r="H93" s="191">
        <f t="shared" si="222"/>
        <v>0</v>
      </c>
      <c r="I93" s="83"/>
      <c r="J93" s="187"/>
      <c r="K93" s="191">
        <f t="shared" si="3"/>
        <v>0</v>
      </c>
      <c r="L93" s="83"/>
      <c r="M93" s="187"/>
      <c r="N93" s="191">
        <f t="shared" si="5"/>
        <v>0</v>
      </c>
      <c r="O93" s="85"/>
      <c r="P93" s="152"/>
      <c r="Q93" s="152"/>
      <c r="R93" s="85"/>
      <c r="S93" s="186">
        <f t="shared" si="223"/>
        <v>0</v>
      </c>
      <c r="T93" s="191">
        <f t="shared" si="224"/>
        <v>0</v>
      </c>
      <c r="U93" s="181">
        <f t="shared" si="225"/>
        <v>0</v>
      </c>
      <c r="V93" s="192">
        <f t="shared" si="226"/>
        <v>0</v>
      </c>
      <c r="X93" s="83">
        <f>'Ανάλυση για νέους πελάτες'!D22+'Ανάλυση για νέους πελάτες'!D62+'Ανάλυση για νέους πελάτες'!D82+'Ανάλυση για νέους πελάτες'!D102+'Ανάλυση για νέους πελάτες'!D122</f>
        <v>65</v>
      </c>
      <c r="Y93" s="186">
        <f t="shared" si="227"/>
        <v>65</v>
      </c>
      <c r="Z93" s="191">
        <f t="shared" si="228"/>
        <v>0</v>
      </c>
      <c r="AA93" s="83">
        <f>'Ανάλυση για νέους πελάτες'!E22+'Ανάλυση για νέους πελάτες'!E62+'Ανάλυση για νέους πελάτες'!E82+'Ανάλυση για νέους πελάτες'!E102+'Ανάλυση για νέους πελάτες'!E122</f>
        <v>94</v>
      </c>
      <c r="AB93" s="187">
        <f t="shared" si="229"/>
        <v>159</v>
      </c>
      <c r="AC93" s="191">
        <f t="shared" si="230"/>
        <v>1.4461538461538461</v>
      </c>
      <c r="AD93" s="83">
        <f>'Ανάλυση για νέους πελάτες'!F22+'Ανάλυση για νέους πελάτες'!F62+'Ανάλυση για νέους πελάτες'!F82+'Ανάλυση για νέους πελάτες'!F102+'Ανάλυση για νέους πελάτες'!F122</f>
        <v>101</v>
      </c>
      <c r="AE93" s="187">
        <f t="shared" si="231"/>
        <v>260</v>
      </c>
      <c r="AF93" s="191">
        <f t="shared" si="232"/>
        <v>0.63522012578616349</v>
      </c>
      <c r="AG93" s="83">
        <f>'Ανάλυση για νέους πελάτες'!G22+'Ανάλυση για νέους πελάτες'!G62+'Ανάλυση για νέους πελάτες'!G82+'Ανάλυση για νέους πελάτες'!G102+'Ανάλυση για νέους πελάτες'!G122</f>
        <v>60</v>
      </c>
      <c r="AH93" s="187">
        <f t="shared" si="233"/>
        <v>320</v>
      </c>
      <c r="AI93" s="191">
        <f t="shared" si="234"/>
        <v>0.23076923076923078</v>
      </c>
      <c r="AJ93" s="83">
        <f>'Ανάλυση για νέους πελάτες'!H22+'Ανάλυση για νέους πελάτες'!H62+'Ανάλυση για νέους πελάτες'!H82+'Ανάλυση για νέους πελάτες'!H102+'Ανάλυση για νέους πελάτες'!H122</f>
        <v>49</v>
      </c>
      <c r="AK93" s="187">
        <f t="shared" si="235"/>
        <v>369</v>
      </c>
      <c r="AL93" s="191">
        <f t="shared" si="236"/>
        <v>0.15312500000000001</v>
      </c>
      <c r="AM93" s="181">
        <f t="shared" si="237"/>
        <v>369</v>
      </c>
      <c r="AN93" s="192">
        <f t="shared" si="238"/>
        <v>0.54357683514463684</v>
      </c>
    </row>
    <row r="94" spans="2:40" outlineLevel="1" x14ac:dyDescent="0.25">
      <c r="B94" s="52" t="s">
        <v>304</v>
      </c>
      <c r="C94" s="64" t="s">
        <v>22</v>
      </c>
      <c r="D94" s="83"/>
      <c r="E94" s="83"/>
      <c r="F94" s="83"/>
      <c r="G94" s="187"/>
      <c r="H94" s="191">
        <f t="shared" si="222"/>
        <v>0</v>
      </c>
      <c r="I94" s="83"/>
      <c r="J94" s="187"/>
      <c r="K94" s="191">
        <f t="shared" si="3"/>
        <v>0</v>
      </c>
      <c r="L94" s="83"/>
      <c r="M94" s="187"/>
      <c r="N94" s="191">
        <f t="shared" si="5"/>
        <v>0</v>
      </c>
      <c r="O94" s="85"/>
      <c r="P94" s="152"/>
      <c r="Q94" s="152"/>
      <c r="R94" s="85"/>
      <c r="S94" s="186">
        <f t="shared" si="223"/>
        <v>0</v>
      </c>
      <c r="T94" s="191">
        <f t="shared" si="224"/>
        <v>0</v>
      </c>
      <c r="U94" s="181">
        <f t="shared" si="225"/>
        <v>0</v>
      </c>
      <c r="V94" s="192">
        <f t="shared" si="226"/>
        <v>0</v>
      </c>
      <c r="X94" s="83">
        <f>'Ανάλυση για νέους πελάτες'!D23+'Ανάλυση για νέους πελάτες'!D63+'Ανάλυση για νέους πελάτες'!D83+'Ανάλυση για νέους πελάτες'!D103+'Ανάλυση για νέους πελάτες'!D123</f>
        <v>71</v>
      </c>
      <c r="Y94" s="186">
        <f t="shared" si="227"/>
        <v>71</v>
      </c>
      <c r="Z94" s="191">
        <f t="shared" si="228"/>
        <v>0</v>
      </c>
      <c r="AA94" s="83">
        <f>'Ανάλυση για νέους πελάτες'!E23+'Ανάλυση για νέους πελάτες'!E63+'Ανάλυση για νέους πελάτες'!E83+'Ανάλυση για νέους πελάτες'!E103+'Ανάλυση για νέους πελάτες'!E123</f>
        <v>94</v>
      </c>
      <c r="AB94" s="187">
        <f t="shared" si="229"/>
        <v>165</v>
      </c>
      <c r="AC94" s="191">
        <f t="shared" si="230"/>
        <v>1.323943661971831</v>
      </c>
      <c r="AD94" s="83">
        <f>'Ανάλυση για νέους πελάτες'!F23+'Ανάλυση για νέους πελάτες'!F63+'Ανάλυση για νέους πελάτες'!F83+'Ανάλυση για νέους πελάτες'!F103+'Ανάλυση για νέους πελάτες'!F123</f>
        <v>150</v>
      </c>
      <c r="AE94" s="187">
        <f t="shared" si="231"/>
        <v>315</v>
      </c>
      <c r="AF94" s="191">
        <f t="shared" si="232"/>
        <v>0.90909090909090906</v>
      </c>
      <c r="AG94" s="83">
        <f>'Ανάλυση για νέους πελάτες'!G23+'Ανάλυση για νέους πελάτες'!G63+'Ανάλυση για νέους πελάτες'!G83+'Ανάλυση για νέους πελάτες'!G103+'Ανάλυση για νέους πελάτες'!G123</f>
        <v>70</v>
      </c>
      <c r="AH94" s="187">
        <f t="shared" si="233"/>
        <v>385</v>
      </c>
      <c r="AI94" s="191">
        <f t="shared" si="234"/>
        <v>0.22222222222222221</v>
      </c>
      <c r="AJ94" s="83">
        <f>'Ανάλυση για νέους πελάτες'!H23+'Ανάλυση για νέους πελάτες'!H63+'Ανάλυση για νέους πελάτες'!H83+'Ανάλυση για νέους πελάτες'!H103+'Ανάλυση για νέους πελάτες'!H123</f>
        <v>49</v>
      </c>
      <c r="AK94" s="187">
        <f t="shared" si="235"/>
        <v>434</v>
      </c>
      <c r="AL94" s="191">
        <f t="shared" si="236"/>
        <v>0.12727272727272726</v>
      </c>
      <c r="AM94" s="181">
        <f t="shared" si="237"/>
        <v>434</v>
      </c>
      <c r="AN94" s="192">
        <f t="shared" si="238"/>
        <v>0.57238120945930504</v>
      </c>
    </row>
    <row r="95" spans="2:40" outlineLevel="1" x14ac:dyDescent="0.25">
      <c r="B95" s="52" t="s">
        <v>305</v>
      </c>
      <c r="C95" s="64" t="s">
        <v>22</v>
      </c>
      <c r="D95" s="83"/>
      <c r="E95" s="83"/>
      <c r="F95" s="83"/>
      <c r="G95" s="187"/>
      <c r="H95" s="191">
        <f t="shared" si="222"/>
        <v>0</v>
      </c>
      <c r="I95" s="83"/>
      <c r="J95" s="187"/>
      <c r="K95" s="191">
        <f t="shared" si="3"/>
        <v>0</v>
      </c>
      <c r="L95" s="83"/>
      <c r="M95" s="187"/>
      <c r="N95" s="191">
        <f t="shared" si="5"/>
        <v>0</v>
      </c>
      <c r="O95" s="85"/>
      <c r="P95" s="152"/>
      <c r="Q95" s="152"/>
      <c r="R95" s="85"/>
      <c r="S95" s="186">
        <f t="shared" si="223"/>
        <v>0</v>
      </c>
      <c r="T95" s="191">
        <f t="shared" si="224"/>
        <v>0</v>
      </c>
      <c r="U95" s="181">
        <f t="shared" si="225"/>
        <v>0</v>
      </c>
      <c r="V95" s="192">
        <f t="shared" si="226"/>
        <v>0</v>
      </c>
      <c r="X95" s="83">
        <f>'Ανάλυση για νέους πελάτες'!D24+'Ανάλυση για νέους πελάτες'!D64+'Ανάλυση για νέους πελάτες'!D84+'Ανάλυση για νέους πελάτες'!D104+'Ανάλυση για νέους πελάτες'!D124</f>
        <v>67</v>
      </c>
      <c r="Y95" s="186">
        <f t="shared" si="227"/>
        <v>67</v>
      </c>
      <c r="Z95" s="191">
        <f t="shared" si="228"/>
        <v>0</v>
      </c>
      <c r="AA95" s="83">
        <f>'Ανάλυση για νέους πελάτες'!E24+'Ανάλυση για νέους πελάτες'!E64+'Ανάλυση για νέους πελάτες'!E84+'Ανάλυση για νέους πελάτες'!E104+'Ανάλυση για νέους πελάτες'!E124</f>
        <v>94</v>
      </c>
      <c r="AB95" s="187">
        <f t="shared" si="229"/>
        <v>161</v>
      </c>
      <c r="AC95" s="191">
        <f t="shared" si="230"/>
        <v>1.4029850746268657</v>
      </c>
      <c r="AD95" s="83">
        <f>'Ανάλυση για νέους πελάτες'!F24+'Ανάλυση για νέους πελάτες'!F64+'Ανάλυση για νέους πελάτες'!F84+'Ανάλυση για νέους πελάτες'!F104+'Ανάλυση για νέους πελάτες'!F124</f>
        <v>130</v>
      </c>
      <c r="AE95" s="187">
        <f t="shared" si="231"/>
        <v>291</v>
      </c>
      <c r="AF95" s="191">
        <f t="shared" si="232"/>
        <v>0.80745341614906829</v>
      </c>
      <c r="AG95" s="83">
        <f>'Ανάλυση για νέους πελάτες'!G24+'Ανάλυση για νέους πελάτες'!G64+'Ανάλυση για νέους πελάτες'!G84+'Ανάλυση για νέους πελάτες'!G104+'Ανάλυση για νέους πελάτες'!G124</f>
        <v>60</v>
      </c>
      <c r="AH95" s="187">
        <f t="shared" si="233"/>
        <v>351</v>
      </c>
      <c r="AI95" s="191">
        <f t="shared" si="234"/>
        <v>0.20618556701030927</v>
      </c>
      <c r="AJ95" s="83">
        <f>'Ανάλυση για νέους πελάτες'!H24+'Ανάλυση για νέους πελάτες'!H64+'Ανάλυση για νέους πελάτες'!H84+'Ανάλυση για νέους πελάτες'!H104+'Ανάλυση για νέους πελάτες'!H124</f>
        <v>49</v>
      </c>
      <c r="AK95" s="187">
        <f t="shared" si="235"/>
        <v>400</v>
      </c>
      <c r="AL95" s="191">
        <f t="shared" si="236"/>
        <v>0.1396011396011396</v>
      </c>
      <c r="AM95" s="181">
        <f t="shared" si="237"/>
        <v>400</v>
      </c>
      <c r="AN95" s="192">
        <f t="shared" si="238"/>
        <v>0.563134315126536</v>
      </c>
    </row>
    <row r="96" spans="2:40" outlineLevel="1" x14ac:dyDescent="0.25">
      <c r="B96" s="52" t="s">
        <v>306</v>
      </c>
      <c r="C96" s="64" t="s">
        <v>22</v>
      </c>
      <c r="D96" s="83"/>
      <c r="E96" s="83"/>
      <c r="F96" s="83"/>
      <c r="G96" s="187"/>
      <c r="H96" s="191">
        <f t="shared" si="222"/>
        <v>0</v>
      </c>
      <c r="I96" s="83"/>
      <c r="J96" s="187"/>
      <c r="K96" s="191">
        <f t="shared" si="3"/>
        <v>0</v>
      </c>
      <c r="L96" s="83"/>
      <c r="M96" s="187"/>
      <c r="N96" s="191">
        <f t="shared" si="5"/>
        <v>0</v>
      </c>
      <c r="O96" s="85"/>
      <c r="P96" s="152"/>
      <c r="Q96" s="152"/>
      <c r="R96" s="85"/>
      <c r="S96" s="186">
        <f t="shared" si="223"/>
        <v>0</v>
      </c>
      <c r="T96" s="191">
        <f t="shared" si="224"/>
        <v>0</v>
      </c>
      <c r="U96" s="181">
        <f t="shared" si="225"/>
        <v>0</v>
      </c>
      <c r="V96" s="192">
        <f t="shared" si="226"/>
        <v>0</v>
      </c>
      <c r="X96" s="83">
        <f>'Ανάλυση για νέους πελάτες'!D25+'Ανάλυση για νέους πελάτες'!D65+'Ανάλυση για νέους πελάτες'!D85+'Ανάλυση για νέους πελάτες'!D105+'Ανάλυση για νέους πελάτες'!D125</f>
        <v>153</v>
      </c>
      <c r="Y96" s="186">
        <f t="shared" si="227"/>
        <v>153</v>
      </c>
      <c r="Z96" s="191">
        <f t="shared" si="228"/>
        <v>0</v>
      </c>
      <c r="AA96" s="83">
        <f>'Ανάλυση για νέους πελάτες'!E25+'Ανάλυση για νέους πελάτες'!E65+'Ανάλυση για νέους πελάτες'!E85+'Ανάλυση για νέους πελάτες'!E105+'Ανάλυση για νέους πελάτες'!E125</f>
        <v>175</v>
      </c>
      <c r="AB96" s="187">
        <f t="shared" si="229"/>
        <v>328</v>
      </c>
      <c r="AC96" s="191">
        <f t="shared" si="230"/>
        <v>1.1437908496732025</v>
      </c>
      <c r="AD96" s="83">
        <f>'Ανάλυση για νέους πελάτες'!F25+'Ανάλυση για νέους πελάτες'!F65+'Ανάλυση για νέους πελάτες'!F85+'Ανάλυση για νέους πελάτες'!F105+'Ανάλυση για νέους πελάτες'!F125</f>
        <v>203</v>
      </c>
      <c r="AE96" s="187">
        <f t="shared" ref="AE96:AE97" si="302">AB96+AD96</f>
        <v>531</v>
      </c>
      <c r="AF96" s="191">
        <f t="shared" si="232"/>
        <v>0.61890243902439024</v>
      </c>
      <c r="AG96" s="83">
        <f>'Ανάλυση για νέους πελάτες'!G25+'Ανάλυση για νέους πελάτες'!G65+'Ανάλυση για νέους πελάτες'!G85+'Ανάλυση για νέους πελάτες'!G105+'Ανάλυση για νέους πελάτες'!G125</f>
        <v>184</v>
      </c>
      <c r="AH96" s="187">
        <f t="shared" ref="AH96:AH97" si="303">AE96+AG96</f>
        <v>715</v>
      </c>
      <c r="AI96" s="191">
        <f t="shared" si="234"/>
        <v>0.34651600753295669</v>
      </c>
      <c r="AJ96" s="83">
        <f>'Ανάλυση για νέους πελάτες'!H25+'Ανάλυση για νέους πελάτες'!H65+'Ανάλυση για νέους πελάτες'!H85+'Ανάλυση για νέους πελάτες'!H105+'Ανάλυση για νέους πελάτες'!H125</f>
        <v>120</v>
      </c>
      <c r="AK96" s="187">
        <f t="shared" ref="AK96:AK97" si="304">AH96+AJ96</f>
        <v>835</v>
      </c>
      <c r="AL96" s="191">
        <f t="shared" si="236"/>
        <v>0.16783216783216784</v>
      </c>
      <c r="AM96" s="181">
        <f t="shared" si="237"/>
        <v>835</v>
      </c>
      <c r="AN96" s="192">
        <f t="shared" si="238"/>
        <v>0.52844128917407329</v>
      </c>
    </row>
    <row r="97" spans="2:40" outlineLevel="1" x14ac:dyDescent="0.25">
      <c r="B97" s="52" t="s">
        <v>308</v>
      </c>
      <c r="C97" s="64" t="s">
        <v>22</v>
      </c>
      <c r="D97" s="83"/>
      <c r="E97" s="83"/>
      <c r="F97" s="83"/>
      <c r="G97" s="187"/>
      <c r="H97" s="191">
        <f t="shared" si="222"/>
        <v>0</v>
      </c>
      <c r="I97" s="83"/>
      <c r="J97" s="187"/>
      <c r="K97" s="191">
        <f t="shared" si="3"/>
        <v>0</v>
      </c>
      <c r="L97" s="83"/>
      <c r="M97" s="187"/>
      <c r="N97" s="191">
        <f t="shared" si="5"/>
        <v>0</v>
      </c>
      <c r="O97" s="85"/>
      <c r="P97" s="152"/>
      <c r="Q97" s="152"/>
      <c r="R97" s="85"/>
      <c r="S97" s="186">
        <f t="shared" si="223"/>
        <v>0</v>
      </c>
      <c r="T97" s="191">
        <f t="shared" si="224"/>
        <v>0</v>
      </c>
      <c r="U97" s="181">
        <f t="shared" si="225"/>
        <v>0</v>
      </c>
      <c r="V97" s="192">
        <f t="shared" si="226"/>
        <v>0</v>
      </c>
      <c r="X97" s="83">
        <f>'Ανάλυση για νέους πελάτες'!D26+'Ανάλυση για νέους πελάτες'!D66+'Ανάλυση για νέους πελάτες'!D86+'Ανάλυση για νέους πελάτες'!D106+'Ανάλυση για νέους πελάτες'!D126</f>
        <v>122</v>
      </c>
      <c r="Y97" s="186">
        <f t="shared" si="227"/>
        <v>122</v>
      </c>
      <c r="Z97" s="191">
        <f t="shared" si="228"/>
        <v>0</v>
      </c>
      <c r="AA97" s="83">
        <f>'Ανάλυση για νέους πελάτες'!E26+'Ανάλυση για νέους πελάτες'!E66+'Ανάλυση για νέους πελάτες'!E86+'Ανάλυση για νέους πελάτες'!E106+'Ανάλυση για νέους πελάτες'!E126</f>
        <v>164</v>
      </c>
      <c r="AB97" s="187">
        <f t="shared" si="229"/>
        <v>286</v>
      </c>
      <c r="AC97" s="191">
        <f t="shared" si="230"/>
        <v>1.3442622950819672</v>
      </c>
      <c r="AD97" s="83">
        <f>'Ανάλυση για νέους πελάτες'!F26+'Ανάλυση για νέους πελάτες'!F66+'Ανάλυση για νέους πελάτες'!F86+'Ανάλυση για νέους πελάτες'!F106+'Ανάλυση για νέους πελάτες'!F126</f>
        <v>184</v>
      </c>
      <c r="AE97" s="187">
        <f t="shared" si="302"/>
        <v>470</v>
      </c>
      <c r="AF97" s="191">
        <f t="shared" si="232"/>
        <v>0.64335664335664333</v>
      </c>
      <c r="AG97" s="83">
        <f>'Ανάλυση για νέους πελάτες'!G26+'Ανάλυση για νέους πελάτες'!G66+'Ανάλυση για νέους πελάτες'!G86+'Ανάλυση για νέους πελάτες'!G106+'Ανάλυση για νέους πελάτες'!G126</f>
        <v>152</v>
      </c>
      <c r="AH97" s="187">
        <f t="shared" si="303"/>
        <v>622</v>
      </c>
      <c r="AI97" s="191">
        <f t="shared" si="234"/>
        <v>0.32340425531914896</v>
      </c>
      <c r="AJ97" s="83">
        <f>'Ανάλυση για νέους πελάτες'!H26+'Ανάλυση για νέους πελάτες'!H66+'Ανάλυση για νέους πελάτες'!H86+'Ανάλυση για νέους πελάτες'!H106+'Ανάλυση για νέους πελάτες'!H126</f>
        <v>120</v>
      </c>
      <c r="AK97" s="187">
        <f t="shared" si="304"/>
        <v>742</v>
      </c>
      <c r="AL97" s="191">
        <f t="shared" si="236"/>
        <v>0.19292604501607716</v>
      </c>
      <c r="AM97" s="181">
        <f t="shared" si="237"/>
        <v>742</v>
      </c>
      <c r="AN97" s="192">
        <f t="shared" si="238"/>
        <v>0.57040264711309652</v>
      </c>
    </row>
    <row r="98" spans="2:40" outlineLevel="1" x14ac:dyDescent="0.25">
      <c r="B98" s="52"/>
      <c r="C98" s="64"/>
      <c r="D98" s="83"/>
      <c r="E98" s="83"/>
      <c r="F98" s="83"/>
      <c r="G98" s="187"/>
      <c r="H98" s="191">
        <f t="shared" si="222"/>
        <v>0</v>
      </c>
      <c r="I98" s="83"/>
      <c r="J98" s="187"/>
      <c r="K98" s="191">
        <f t="shared" si="3"/>
        <v>0</v>
      </c>
      <c r="L98" s="83"/>
      <c r="M98" s="187"/>
      <c r="N98" s="191">
        <f t="shared" si="5"/>
        <v>0</v>
      </c>
      <c r="O98" s="85"/>
      <c r="P98" s="152"/>
      <c r="Q98" s="152"/>
      <c r="R98" s="85"/>
      <c r="S98" s="186">
        <f t="shared" si="223"/>
        <v>0</v>
      </c>
      <c r="T98" s="191">
        <f t="shared" si="224"/>
        <v>0</v>
      </c>
      <c r="U98" s="181">
        <f t="shared" si="225"/>
        <v>0</v>
      </c>
      <c r="V98" s="192">
        <f t="shared" si="226"/>
        <v>0</v>
      </c>
      <c r="X98" s="83">
        <f>'Ανάλυση για νέους πελάτες'!D27+'Ανάλυση για νέους πελάτες'!D67+'Ανάλυση για νέους πελάτες'!D87+'Ανάλυση για νέους πελάτες'!D107+'Ανάλυση για νέους πελάτες'!D127</f>
        <v>0</v>
      </c>
      <c r="Y98" s="186"/>
      <c r="Z98" s="191">
        <f t="shared" si="228"/>
        <v>0</v>
      </c>
      <c r="AA98" s="83"/>
      <c r="AB98" s="187"/>
      <c r="AC98" s="191">
        <f t="shared" si="230"/>
        <v>0</v>
      </c>
      <c r="AD98" s="83"/>
      <c r="AE98" s="187"/>
      <c r="AF98" s="191">
        <f t="shared" si="232"/>
        <v>0</v>
      </c>
      <c r="AG98" s="83"/>
      <c r="AH98" s="187"/>
      <c r="AI98" s="191">
        <f t="shared" si="234"/>
        <v>0</v>
      </c>
      <c r="AJ98" s="83"/>
      <c r="AK98" s="187"/>
      <c r="AL98" s="191">
        <f t="shared" si="236"/>
        <v>0</v>
      </c>
      <c r="AM98" s="181"/>
      <c r="AN98" s="192">
        <f t="shared" si="238"/>
        <v>0</v>
      </c>
    </row>
    <row r="99" spans="2:40" outlineLevel="1" x14ac:dyDescent="0.25">
      <c r="B99" s="349"/>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1"/>
    </row>
    <row r="100" spans="2:40" outlineLevel="1" x14ac:dyDescent="0.25">
      <c r="B100" s="52" t="s">
        <v>82</v>
      </c>
      <c r="C100" s="49" t="s">
        <v>22</v>
      </c>
      <c r="D100" s="188">
        <f>SUM(D84:D98)</f>
        <v>0</v>
      </c>
      <c r="E100" s="189">
        <f>SUM(E84:E98)</f>
        <v>0</v>
      </c>
      <c r="F100" s="188">
        <f>SUM(F84:F98)</f>
        <v>0</v>
      </c>
      <c r="G100" s="187">
        <f>SUM(G84:G98)</f>
        <v>0</v>
      </c>
      <c r="H100" s="191">
        <f>IFERROR((G100-E100)/E100,0)</f>
        <v>0</v>
      </c>
      <c r="I100" s="188">
        <f>SUM(I84:I98)</f>
        <v>0</v>
      </c>
      <c r="J100" s="187">
        <f>SUM(J84:J98)</f>
        <v>0</v>
      </c>
      <c r="K100" s="191">
        <f t="shared" si="3"/>
        <v>0</v>
      </c>
      <c r="L100" s="188">
        <f>SUM(L84:L98)</f>
        <v>31</v>
      </c>
      <c r="M100" s="187">
        <f>SUM(M84:M98)</f>
        <v>31</v>
      </c>
      <c r="N100" s="191">
        <f t="shared" si="5"/>
        <v>0</v>
      </c>
      <c r="O100" s="188">
        <f>SUM(O84:O98)</f>
        <v>5</v>
      </c>
      <c r="P100" s="152"/>
      <c r="Q100" s="152"/>
      <c r="R100" s="188">
        <f>SUM(R84:R98)</f>
        <v>300</v>
      </c>
      <c r="S100" s="187">
        <f>M100+R100</f>
        <v>331</v>
      </c>
      <c r="T100" s="191">
        <f>IFERROR((S100-M100)/M100,0)</f>
        <v>9.67741935483871</v>
      </c>
      <c r="U100" s="181">
        <f>D100+F100+I100+L100+R100</f>
        <v>331</v>
      </c>
      <c r="V100" s="192">
        <f>IFERROR((S100/E100)^(1/4)-1,0)</f>
        <v>0</v>
      </c>
      <c r="X100" s="188">
        <f>SUM(X84:X98)</f>
        <v>3017</v>
      </c>
      <c r="Y100" s="187">
        <f>SUM(Y84:Y98)</f>
        <v>3348</v>
      </c>
      <c r="Z100" s="191">
        <f>IFERROR((Y100-S100)/S100,0)</f>
        <v>9.1148036253776432</v>
      </c>
      <c r="AA100" s="188">
        <f>SUM(AA84:AA98)</f>
        <v>7307</v>
      </c>
      <c r="AB100" s="187">
        <f>SUM(AB84:AB98)</f>
        <v>10655</v>
      </c>
      <c r="AC100" s="191">
        <f t="shared" ref="AC100" si="305">IFERROR((AB100-Y100)/Y100,0)</f>
        <v>2.1824970131421746</v>
      </c>
      <c r="AD100" s="188">
        <f>SUM(AD84:AD98)</f>
        <v>5638</v>
      </c>
      <c r="AE100" s="187">
        <f>SUM(AE84:AE98)</f>
        <v>16293</v>
      </c>
      <c r="AF100" s="191">
        <f t="shared" ref="AF100" si="306">IFERROR((AE100-AB100)/AB100,0)</f>
        <v>0.52914124824026276</v>
      </c>
      <c r="AG100" s="188">
        <f>SUM(AG84:AG98)</f>
        <v>3926</v>
      </c>
      <c r="AH100" s="187">
        <f>SUM(AH84:AH98)</f>
        <v>20219</v>
      </c>
      <c r="AI100" s="191">
        <f t="shared" ref="AI100" si="307">IFERROR((AH100-AE100)/AE100,0)</f>
        <v>0.24096237648069724</v>
      </c>
      <c r="AJ100" s="188">
        <f>SUM(AJ84:AJ98)</f>
        <v>2079</v>
      </c>
      <c r="AK100" s="187">
        <f>SUM(AK84:AK98)</f>
        <v>22298</v>
      </c>
      <c r="AL100" s="191">
        <f t="shared" ref="AL100" si="308">IFERROR((AK100-AH100)/AH100,0)</f>
        <v>0.10282407636381621</v>
      </c>
      <c r="AM100" s="187">
        <f>SUM(AM84:AM98)</f>
        <v>21967</v>
      </c>
      <c r="AN100" s="192">
        <f t="shared" si="238"/>
        <v>0.60646073658484467</v>
      </c>
    </row>
    <row r="102" spans="2:40" ht="17.25" customHeight="1" x14ac:dyDescent="0.25">
      <c r="B102" s="352" t="s">
        <v>228</v>
      </c>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67"/>
    </row>
    <row r="103" spans="2:40" ht="5.45" customHeight="1" outlineLevel="1" x14ac:dyDescent="0.25">
      <c r="B103" s="115"/>
      <c r="C103" s="115"/>
      <c r="D103" s="115"/>
      <c r="E103" s="115"/>
      <c r="F103" s="115"/>
      <c r="G103" s="115"/>
      <c r="H103" s="115"/>
      <c r="I103" s="115"/>
      <c r="J103" s="115"/>
      <c r="K103" s="115"/>
      <c r="L103" s="115"/>
      <c r="M103" s="115"/>
      <c r="N103" s="115"/>
      <c r="O103" s="115"/>
      <c r="P103" s="115"/>
      <c r="Q103" s="115"/>
      <c r="R103" s="381"/>
      <c r="S103" s="381"/>
      <c r="T103" s="381"/>
      <c r="U103" s="115"/>
      <c r="V103" s="115"/>
      <c r="W103" s="115"/>
      <c r="X103" s="115"/>
      <c r="Y103" s="115"/>
      <c r="Z103" s="115"/>
      <c r="AA103" s="115"/>
      <c r="AB103" s="115"/>
      <c r="AC103" s="115"/>
      <c r="AD103" s="115"/>
      <c r="AE103" s="115"/>
      <c r="AF103" s="115"/>
      <c r="AG103" s="115"/>
      <c r="AH103" s="115"/>
      <c r="AI103" s="115"/>
      <c r="AJ103" s="115"/>
      <c r="AK103" s="115"/>
      <c r="AL103" s="115"/>
      <c r="AM103" s="115"/>
      <c r="AN103" s="115"/>
    </row>
    <row r="104" spans="2:40" ht="15" customHeight="1" outlineLevel="1" x14ac:dyDescent="0.25">
      <c r="B104" s="368"/>
      <c r="C104" s="369" t="s">
        <v>20</v>
      </c>
      <c r="D104" s="372" t="s">
        <v>262</v>
      </c>
      <c r="E104" s="373"/>
      <c r="F104" s="373"/>
      <c r="G104" s="373"/>
      <c r="H104" s="373"/>
      <c r="I104" s="373"/>
      <c r="J104" s="373"/>
      <c r="K104" s="373"/>
      <c r="L104" s="373"/>
      <c r="M104" s="373"/>
      <c r="N104" s="373"/>
      <c r="O104" s="373"/>
      <c r="P104" s="373"/>
      <c r="Q104" s="374"/>
      <c r="R104" s="378" t="s">
        <v>260</v>
      </c>
      <c r="S104" s="379"/>
      <c r="T104" s="380"/>
      <c r="U104" s="388" t="str">
        <f xml:space="preserve"> D105&amp;" - "&amp;R105</f>
        <v>2018 - 2022</v>
      </c>
      <c r="V104" s="389"/>
      <c r="X104" s="372" t="s">
        <v>261</v>
      </c>
      <c r="Y104" s="373"/>
      <c r="Z104" s="373"/>
      <c r="AA104" s="373"/>
      <c r="AB104" s="373"/>
      <c r="AC104" s="373"/>
      <c r="AD104" s="373"/>
      <c r="AE104" s="373"/>
      <c r="AF104" s="373"/>
      <c r="AG104" s="373"/>
      <c r="AH104" s="373"/>
      <c r="AI104" s="373"/>
      <c r="AJ104" s="373"/>
      <c r="AK104" s="373"/>
      <c r="AL104" s="373"/>
      <c r="AM104" s="373"/>
      <c r="AN104" s="375"/>
    </row>
    <row r="105" spans="2:40" ht="15" customHeight="1" outlineLevel="1" x14ac:dyDescent="0.25">
      <c r="B105" s="368"/>
      <c r="C105" s="370"/>
      <c r="D105" s="372">
        <f>$C$3-5</f>
        <v>2018</v>
      </c>
      <c r="E105" s="374"/>
      <c r="F105" s="372">
        <f>$C$3-4</f>
        <v>2019</v>
      </c>
      <c r="G105" s="373"/>
      <c r="H105" s="374"/>
      <c r="I105" s="372">
        <f>$C$3-3</f>
        <v>2020</v>
      </c>
      <c r="J105" s="373"/>
      <c r="K105" s="374"/>
      <c r="L105" s="372">
        <f>$C$3-2</f>
        <v>2021</v>
      </c>
      <c r="M105" s="373"/>
      <c r="N105" s="374"/>
      <c r="O105" s="372" t="str">
        <f>$C$3-1&amp;""&amp;" ("&amp;"Σεπτ"&amp;")"</f>
        <v>2022 (Σεπτ)</v>
      </c>
      <c r="P105" s="373"/>
      <c r="Q105" s="374"/>
      <c r="R105" s="372">
        <f>$C$3-1</f>
        <v>2022</v>
      </c>
      <c r="S105" s="373"/>
      <c r="T105" s="374"/>
      <c r="U105" s="390"/>
      <c r="V105" s="391"/>
      <c r="X105" s="372">
        <f>$C$3</f>
        <v>2023</v>
      </c>
      <c r="Y105" s="373"/>
      <c r="Z105" s="374"/>
      <c r="AA105" s="372">
        <f>$C$3+1</f>
        <v>2024</v>
      </c>
      <c r="AB105" s="373"/>
      <c r="AC105" s="374"/>
      <c r="AD105" s="372">
        <f>$C$3+2</f>
        <v>2025</v>
      </c>
      <c r="AE105" s="373"/>
      <c r="AF105" s="374"/>
      <c r="AG105" s="372">
        <f>$C$3+3</f>
        <v>2026</v>
      </c>
      <c r="AH105" s="373"/>
      <c r="AI105" s="374"/>
      <c r="AJ105" s="372">
        <f>$C$3+4</f>
        <v>2027</v>
      </c>
      <c r="AK105" s="373"/>
      <c r="AL105" s="374"/>
      <c r="AM105" s="376" t="str">
        <f>X105&amp;" - "&amp;AJ105</f>
        <v>2023 - 2027</v>
      </c>
      <c r="AN105" s="377"/>
    </row>
    <row r="106" spans="2:40" ht="30" outlineLevel="1" x14ac:dyDescent="0.25">
      <c r="B106" s="368"/>
      <c r="C106" s="371"/>
      <c r="D106" s="67" t="s">
        <v>6</v>
      </c>
      <c r="E106" s="68" t="s">
        <v>7</v>
      </c>
      <c r="F106" s="67" t="s">
        <v>6</v>
      </c>
      <c r="G106" s="9" t="s">
        <v>7</v>
      </c>
      <c r="H106" s="68" t="s">
        <v>81</v>
      </c>
      <c r="I106" s="67" t="s">
        <v>6</v>
      </c>
      <c r="J106" s="9" t="s">
        <v>7</v>
      </c>
      <c r="K106" s="68" t="s">
        <v>81</v>
      </c>
      <c r="L106" s="67" t="s">
        <v>6</v>
      </c>
      <c r="M106" s="9" t="s">
        <v>7</v>
      </c>
      <c r="N106" s="68" t="s">
        <v>81</v>
      </c>
      <c r="O106" s="67" t="s">
        <v>6</v>
      </c>
      <c r="P106" s="9" t="s">
        <v>7</v>
      </c>
      <c r="Q106" s="68" t="s">
        <v>81</v>
      </c>
      <c r="R106" s="67" t="s">
        <v>4</v>
      </c>
      <c r="S106" s="9" t="s">
        <v>5</v>
      </c>
      <c r="T106" s="68" t="s">
        <v>81</v>
      </c>
      <c r="U106" s="9" t="s">
        <v>17</v>
      </c>
      <c r="V106" s="60" t="s">
        <v>83</v>
      </c>
      <c r="X106" s="67" t="s">
        <v>6</v>
      </c>
      <c r="Y106" s="9" t="s">
        <v>7</v>
      </c>
      <c r="Z106" s="68" t="s">
        <v>81</v>
      </c>
      <c r="AA106" s="67" t="s">
        <v>6</v>
      </c>
      <c r="AB106" s="9" t="s">
        <v>7</v>
      </c>
      <c r="AC106" s="68" t="s">
        <v>81</v>
      </c>
      <c r="AD106" s="67" t="s">
        <v>6</v>
      </c>
      <c r="AE106" s="9" t="s">
        <v>7</v>
      </c>
      <c r="AF106" s="68" t="s">
        <v>81</v>
      </c>
      <c r="AG106" s="67" t="s">
        <v>6</v>
      </c>
      <c r="AH106" s="9" t="s">
        <v>7</v>
      </c>
      <c r="AI106" s="68" t="s">
        <v>81</v>
      </c>
      <c r="AJ106" s="67" t="s">
        <v>6</v>
      </c>
      <c r="AK106" s="9" t="s">
        <v>7</v>
      </c>
      <c r="AL106" s="68" t="s">
        <v>81</v>
      </c>
      <c r="AM106" s="9" t="s">
        <v>17</v>
      </c>
      <c r="AN106" s="60" t="s">
        <v>83</v>
      </c>
    </row>
    <row r="107" spans="2:40" outlineLevel="1" x14ac:dyDescent="0.25">
      <c r="B107" s="52" t="s">
        <v>283</v>
      </c>
      <c r="C107" s="64" t="s">
        <v>22</v>
      </c>
      <c r="D107" s="83">
        <v>0</v>
      </c>
      <c r="E107" s="83">
        <v>0</v>
      </c>
      <c r="F107" s="83">
        <v>0</v>
      </c>
      <c r="G107" s="186">
        <f t="shared" ref="G107:G115" si="309">E107+F107</f>
        <v>0</v>
      </c>
      <c r="H107" s="190">
        <f t="shared" ref="H107:H121" si="310">IFERROR((G107-E107)/E107,0)</f>
        <v>0</v>
      </c>
      <c r="I107" s="83">
        <v>0</v>
      </c>
      <c r="J107" s="186">
        <f t="shared" si="2"/>
        <v>0</v>
      </c>
      <c r="K107" s="190">
        <f t="shared" si="3"/>
        <v>0</v>
      </c>
      <c r="L107" s="83">
        <v>0</v>
      </c>
      <c r="M107" s="186">
        <f t="shared" si="4"/>
        <v>0</v>
      </c>
      <c r="N107" s="190">
        <f t="shared" si="5"/>
        <v>0</v>
      </c>
      <c r="O107" s="83"/>
      <c r="P107" s="150"/>
      <c r="Q107" s="152"/>
      <c r="R107" s="83"/>
      <c r="S107" s="186">
        <f t="shared" ref="S107:S121" si="311">M107+R107</f>
        <v>0</v>
      </c>
      <c r="T107" s="190">
        <f t="shared" ref="T107:T121" si="312">IFERROR((S107-M107)/M107,0)</f>
        <v>0</v>
      </c>
      <c r="U107" s="181">
        <f t="shared" ref="U107:U121" si="313">D107+F107+I107+L107+R107</f>
        <v>0</v>
      </c>
      <c r="V107" s="192">
        <f t="shared" ref="V107:V121" si="314">IFERROR((S107/E107)^(1/4)-1,0)</f>
        <v>0</v>
      </c>
      <c r="X107" s="83"/>
      <c r="Y107" s="186">
        <f t="shared" ref="Y107:Y115" si="315">S107+X107</f>
        <v>0</v>
      </c>
      <c r="Z107" s="190">
        <f t="shared" ref="Z107:Z121" si="316">IFERROR((Y107-S107)/S107,0)</f>
        <v>0</v>
      </c>
      <c r="AA107" s="83"/>
      <c r="AB107" s="186">
        <f t="shared" ref="AB107:AB115" si="317">Y107+AA107</f>
        <v>0</v>
      </c>
      <c r="AC107" s="190">
        <f t="shared" ref="AC107:AC121" si="318">IFERROR((AB107-Y107)/Y107,0)</f>
        <v>0</v>
      </c>
      <c r="AD107" s="83"/>
      <c r="AE107" s="186">
        <f t="shared" ref="AE107:AE115" si="319">AB107+AD107</f>
        <v>0</v>
      </c>
      <c r="AF107" s="190">
        <f t="shared" ref="AF107:AF121" si="320">IFERROR((AE107-AB107)/AB107,0)</f>
        <v>0</v>
      </c>
      <c r="AG107" s="83"/>
      <c r="AH107" s="186">
        <f t="shared" ref="AH107:AH115" si="321">AE107+AG107</f>
        <v>0</v>
      </c>
      <c r="AI107" s="190">
        <f t="shared" ref="AI107:AI121" si="322">IFERROR((AH107-AE107)/AE107,0)</f>
        <v>0</v>
      </c>
      <c r="AJ107" s="83"/>
      <c r="AK107" s="186">
        <f t="shared" ref="AK107:AK115" si="323">AH107+AJ107</f>
        <v>0</v>
      </c>
      <c r="AL107" s="190">
        <f t="shared" ref="AL107:AL121" si="324">IFERROR((AK107-AH107)/AH107,0)</f>
        <v>0</v>
      </c>
      <c r="AM107" s="193">
        <f>X107+AA107+AD107+AG107+AJ107</f>
        <v>0</v>
      </c>
      <c r="AN107" s="192">
        <f>IFERROR((AK107/Y107)^(1/4)-1,0)</f>
        <v>0</v>
      </c>
    </row>
    <row r="108" spans="2:40" outlineLevel="1" x14ac:dyDescent="0.25">
      <c r="B108" s="52" t="s">
        <v>284</v>
      </c>
      <c r="C108" s="64" t="s">
        <v>22</v>
      </c>
      <c r="D108" s="83">
        <v>0</v>
      </c>
      <c r="E108" s="83">
        <v>0</v>
      </c>
      <c r="F108" s="83">
        <v>0</v>
      </c>
      <c r="G108" s="186">
        <f t="shared" si="309"/>
        <v>0</v>
      </c>
      <c r="H108" s="190">
        <f t="shared" si="310"/>
        <v>0</v>
      </c>
      <c r="I108" s="83">
        <v>0</v>
      </c>
      <c r="J108" s="186">
        <f t="shared" si="2"/>
        <v>0</v>
      </c>
      <c r="K108" s="190">
        <f t="shared" si="3"/>
        <v>0</v>
      </c>
      <c r="L108" s="83">
        <v>0</v>
      </c>
      <c r="M108" s="186">
        <f t="shared" si="4"/>
        <v>0</v>
      </c>
      <c r="N108" s="190">
        <f t="shared" si="5"/>
        <v>0</v>
      </c>
      <c r="O108" s="83"/>
      <c r="P108" s="150"/>
      <c r="Q108" s="152"/>
      <c r="R108" s="83"/>
      <c r="S108" s="186">
        <f t="shared" si="311"/>
        <v>0</v>
      </c>
      <c r="T108" s="190">
        <f t="shared" si="312"/>
        <v>0</v>
      </c>
      <c r="U108" s="181">
        <f t="shared" si="313"/>
        <v>0</v>
      </c>
      <c r="V108" s="192">
        <f t="shared" si="314"/>
        <v>0</v>
      </c>
      <c r="X108" s="83"/>
      <c r="Y108" s="186">
        <f t="shared" si="315"/>
        <v>0</v>
      </c>
      <c r="Z108" s="190">
        <f t="shared" si="316"/>
        <v>0</v>
      </c>
      <c r="AA108" s="83"/>
      <c r="AB108" s="186">
        <f t="shared" si="317"/>
        <v>0</v>
      </c>
      <c r="AC108" s="190">
        <f t="shared" si="318"/>
        <v>0</v>
      </c>
      <c r="AD108" s="83"/>
      <c r="AE108" s="186">
        <f t="shared" si="319"/>
        <v>0</v>
      </c>
      <c r="AF108" s="190">
        <f t="shared" si="320"/>
        <v>0</v>
      </c>
      <c r="AG108" s="83"/>
      <c r="AH108" s="186">
        <f t="shared" si="321"/>
        <v>0</v>
      </c>
      <c r="AI108" s="190">
        <f t="shared" si="322"/>
        <v>0</v>
      </c>
      <c r="AJ108" s="83"/>
      <c r="AK108" s="186">
        <f t="shared" si="323"/>
        <v>0</v>
      </c>
      <c r="AL108" s="190">
        <f t="shared" si="324"/>
        <v>0</v>
      </c>
      <c r="AM108" s="181">
        <f t="shared" ref="AM108:AM115" si="325">X108+AA108+AD108+AG108+AJ108</f>
        <v>0</v>
      </c>
      <c r="AN108" s="192">
        <f t="shared" ref="AN108:AN123" si="326">IFERROR((AK108/Y108)^(1/4)-1,0)</f>
        <v>0</v>
      </c>
    </row>
    <row r="109" spans="2:40" outlineLevel="1" x14ac:dyDescent="0.25">
      <c r="B109" s="52" t="s">
        <v>285</v>
      </c>
      <c r="C109" s="64" t="s">
        <v>22</v>
      </c>
      <c r="D109" s="83">
        <v>0</v>
      </c>
      <c r="E109" s="83">
        <v>0</v>
      </c>
      <c r="F109" s="83">
        <v>0</v>
      </c>
      <c r="G109" s="186">
        <f t="shared" si="309"/>
        <v>0</v>
      </c>
      <c r="H109" s="190">
        <f t="shared" si="310"/>
        <v>0</v>
      </c>
      <c r="I109" s="83">
        <v>0</v>
      </c>
      <c r="J109" s="186">
        <f t="shared" si="2"/>
        <v>0</v>
      </c>
      <c r="K109" s="190">
        <f t="shared" si="3"/>
        <v>0</v>
      </c>
      <c r="L109" s="83">
        <v>0</v>
      </c>
      <c r="M109" s="186">
        <f t="shared" si="4"/>
        <v>0</v>
      </c>
      <c r="N109" s="190">
        <f t="shared" si="5"/>
        <v>0</v>
      </c>
      <c r="O109" s="83"/>
      <c r="P109" s="150"/>
      <c r="Q109" s="152"/>
      <c r="R109" s="83"/>
      <c r="S109" s="186">
        <f t="shared" si="311"/>
        <v>0</v>
      </c>
      <c r="T109" s="190">
        <f t="shared" si="312"/>
        <v>0</v>
      </c>
      <c r="U109" s="181">
        <f t="shared" si="313"/>
        <v>0</v>
      </c>
      <c r="V109" s="192">
        <f t="shared" si="314"/>
        <v>0</v>
      </c>
      <c r="X109" s="83"/>
      <c r="Y109" s="186">
        <f t="shared" si="315"/>
        <v>0</v>
      </c>
      <c r="Z109" s="190">
        <f t="shared" si="316"/>
        <v>0</v>
      </c>
      <c r="AA109" s="83"/>
      <c r="AB109" s="186">
        <f t="shared" si="317"/>
        <v>0</v>
      </c>
      <c r="AC109" s="190">
        <f t="shared" si="318"/>
        <v>0</v>
      </c>
      <c r="AD109" s="83"/>
      <c r="AE109" s="186">
        <f t="shared" si="319"/>
        <v>0</v>
      </c>
      <c r="AF109" s="190">
        <f t="shared" si="320"/>
        <v>0</v>
      </c>
      <c r="AG109" s="83"/>
      <c r="AH109" s="186">
        <f t="shared" si="321"/>
        <v>0</v>
      </c>
      <c r="AI109" s="190">
        <f t="shared" si="322"/>
        <v>0</v>
      </c>
      <c r="AJ109" s="83"/>
      <c r="AK109" s="186">
        <f t="shared" si="323"/>
        <v>0</v>
      </c>
      <c r="AL109" s="190">
        <f t="shared" si="324"/>
        <v>0</v>
      </c>
      <c r="AM109" s="181">
        <f t="shared" si="325"/>
        <v>0</v>
      </c>
      <c r="AN109" s="192">
        <f t="shared" si="326"/>
        <v>0</v>
      </c>
    </row>
    <row r="110" spans="2:40" outlineLevel="1" x14ac:dyDescent="0.25">
      <c r="B110" s="52" t="s">
        <v>286</v>
      </c>
      <c r="C110" s="64" t="s">
        <v>22</v>
      </c>
      <c r="D110" s="83">
        <v>0</v>
      </c>
      <c r="E110" s="83">
        <v>0</v>
      </c>
      <c r="F110" s="83">
        <v>0</v>
      </c>
      <c r="G110" s="186">
        <f t="shared" si="309"/>
        <v>0</v>
      </c>
      <c r="H110" s="191">
        <f t="shared" ref="H110:H112" si="327">IFERROR((G110-E110)/E110,0)</f>
        <v>0</v>
      </c>
      <c r="I110" s="83">
        <v>0</v>
      </c>
      <c r="J110" s="187">
        <f t="shared" ref="J110:J112" si="328">G110+I110</f>
        <v>0</v>
      </c>
      <c r="K110" s="191">
        <f t="shared" ref="K110:K112" si="329">IFERROR((J110-G110)/G110,0)</f>
        <v>0</v>
      </c>
      <c r="L110" s="83">
        <v>0</v>
      </c>
      <c r="M110" s="187">
        <f t="shared" ref="M110:M112" si="330">J110+L110</f>
        <v>0</v>
      </c>
      <c r="N110" s="191">
        <f t="shared" ref="N110:N112" si="331">IFERROR((M110-J110)/J110,0)</f>
        <v>0</v>
      </c>
      <c r="O110" s="85"/>
      <c r="P110" s="152"/>
      <c r="Q110" s="152"/>
      <c r="R110" s="85"/>
      <c r="S110" s="186">
        <f t="shared" ref="S110:S112" si="332">M110+R110</f>
        <v>0</v>
      </c>
      <c r="T110" s="191">
        <f t="shared" ref="T110:T112" si="333">IFERROR((S110-M110)/M110,0)</f>
        <v>0</v>
      </c>
      <c r="U110" s="181">
        <f t="shared" ref="U110:U112" si="334">D110+F110+I110+L110+R110</f>
        <v>0</v>
      </c>
      <c r="V110" s="192">
        <f t="shared" si="314"/>
        <v>0</v>
      </c>
      <c r="X110" s="83">
        <v>2</v>
      </c>
      <c r="Y110" s="186">
        <f t="shared" ref="Y110:Y112" si="335">S110+X110</f>
        <v>2</v>
      </c>
      <c r="Z110" s="191">
        <f t="shared" ref="Z110:Z112" si="336">IFERROR((Y110-S110)/S110,0)</f>
        <v>0</v>
      </c>
      <c r="AA110" s="83">
        <v>1</v>
      </c>
      <c r="AB110" s="187">
        <f t="shared" ref="AB110:AB112" si="337">Y110+AA110</f>
        <v>3</v>
      </c>
      <c r="AC110" s="191">
        <f t="shared" ref="AC110:AC112" si="338">IFERROR((AB110-Y110)/Y110,0)</f>
        <v>0.5</v>
      </c>
      <c r="AD110" s="83"/>
      <c r="AE110" s="187">
        <f t="shared" ref="AE110:AE112" si="339">AB110+AD110</f>
        <v>3</v>
      </c>
      <c r="AF110" s="191">
        <f t="shared" ref="AF110:AF112" si="340">IFERROR((AE110-AB110)/AB110,0)</f>
        <v>0</v>
      </c>
      <c r="AG110" s="83"/>
      <c r="AH110" s="187">
        <f t="shared" ref="AH110:AH112" si="341">AE110+AG110</f>
        <v>3</v>
      </c>
      <c r="AI110" s="191">
        <f t="shared" ref="AI110:AI112" si="342">IFERROR((AH110-AE110)/AE110,0)</f>
        <v>0</v>
      </c>
      <c r="AJ110" s="83"/>
      <c r="AK110" s="187">
        <f t="shared" ref="AK110:AK112" si="343">AH110+AJ110</f>
        <v>3</v>
      </c>
      <c r="AL110" s="191">
        <f t="shared" ref="AL110:AL112" si="344">IFERROR((AK110-AH110)/AH110,0)</f>
        <v>0</v>
      </c>
      <c r="AM110" s="181">
        <f t="shared" ref="AM110:AM112" si="345">X110+AA110+AD110+AG110+AJ110</f>
        <v>3</v>
      </c>
      <c r="AN110" s="192">
        <f t="shared" ref="AN110:AN112" si="346">IFERROR((AK110/Y110)^(1/4)-1,0)</f>
        <v>0.1066819197003217</v>
      </c>
    </row>
    <row r="111" spans="2:40" outlineLevel="1" x14ac:dyDescent="0.25">
      <c r="B111" s="52" t="s">
        <v>287</v>
      </c>
      <c r="C111" s="64" t="s">
        <v>22</v>
      </c>
      <c r="D111" s="83">
        <v>0</v>
      </c>
      <c r="E111" s="83">
        <v>0</v>
      </c>
      <c r="F111" s="83">
        <v>0</v>
      </c>
      <c r="G111" s="186">
        <f t="shared" si="309"/>
        <v>0</v>
      </c>
      <c r="H111" s="191">
        <f t="shared" si="327"/>
        <v>0</v>
      </c>
      <c r="I111" s="83">
        <v>0</v>
      </c>
      <c r="J111" s="187">
        <f t="shared" si="328"/>
        <v>0</v>
      </c>
      <c r="K111" s="191">
        <f t="shared" si="329"/>
        <v>0</v>
      </c>
      <c r="L111" s="83">
        <v>0</v>
      </c>
      <c r="M111" s="187">
        <f t="shared" si="330"/>
        <v>0</v>
      </c>
      <c r="N111" s="191">
        <f t="shared" si="331"/>
        <v>0</v>
      </c>
      <c r="O111" s="85"/>
      <c r="P111" s="152"/>
      <c r="Q111" s="152"/>
      <c r="R111" s="85"/>
      <c r="S111" s="186">
        <f t="shared" si="332"/>
        <v>0</v>
      </c>
      <c r="T111" s="191">
        <f t="shared" si="333"/>
        <v>0</v>
      </c>
      <c r="U111" s="181">
        <f t="shared" si="334"/>
        <v>0</v>
      </c>
      <c r="V111" s="192">
        <f t="shared" si="314"/>
        <v>0</v>
      </c>
      <c r="X111" s="83">
        <v>1</v>
      </c>
      <c r="Y111" s="186">
        <f t="shared" si="335"/>
        <v>1</v>
      </c>
      <c r="Z111" s="191">
        <f t="shared" si="336"/>
        <v>0</v>
      </c>
      <c r="AA111" s="83">
        <v>2</v>
      </c>
      <c r="AB111" s="187">
        <f t="shared" si="337"/>
        <v>3</v>
      </c>
      <c r="AC111" s="191">
        <f t="shared" si="338"/>
        <v>2</v>
      </c>
      <c r="AD111" s="83"/>
      <c r="AE111" s="187">
        <f t="shared" si="339"/>
        <v>3</v>
      </c>
      <c r="AF111" s="191">
        <f t="shared" si="340"/>
        <v>0</v>
      </c>
      <c r="AG111" s="83"/>
      <c r="AH111" s="187">
        <f t="shared" si="341"/>
        <v>3</v>
      </c>
      <c r="AI111" s="191">
        <f t="shared" si="342"/>
        <v>0</v>
      </c>
      <c r="AJ111" s="83"/>
      <c r="AK111" s="187">
        <f t="shared" si="343"/>
        <v>3</v>
      </c>
      <c r="AL111" s="191">
        <f t="shared" si="344"/>
        <v>0</v>
      </c>
      <c r="AM111" s="181">
        <f t="shared" si="345"/>
        <v>3</v>
      </c>
      <c r="AN111" s="192">
        <f t="shared" si="346"/>
        <v>0.3160740129524926</v>
      </c>
    </row>
    <row r="112" spans="2:40" outlineLevel="1" x14ac:dyDescent="0.25">
      <c r="B112" s="52" t="s">
        <v>288</v>
      </c>
      <c r="C112" s="64" t="s">
        <v>22</v>
      </c>
      <c r="D112" s="83">
        <v>0</v>
      </c>
      <c r="E112" s="83">
        <v>0</v>
      </c>
      <c r="F112" s="83">
        <v>0</v>
      </c>
      <c r="G112" s="186">
        <f t="shared" si="309"/>
        <v>0</v>
      </c>
      <c r="H112" s="191">
        <f t="shared" si="327"/>
        <v>0</v>
      </c>
      <c r="I112" s="83">
        <v>0</v>
      </c>
      <c r="J112" s="187">
        <f t="shared" si="328"/>
        <v>0</v>
      </c>
      <c r="K112" s="191">
        <f t="shared" si="329"/>
        <v>0</v>
      </c>
      <c r="L112" s="83">
        <v>0</v>
      </c>
      <c r="M112" s="187">
        <f t="shared" si="330"/>
        <v>0</v>
      </c>
      <c r="N112" s="191">
        <f t="shared" si="331"/>
        <v>0</v>
      </c>
      <c r="O112" s="85"/>
      <c r="P112" s="152"/>
      <c r="Q112" s="152"/>
      <c r="R112" s="85"/>
      <c r="S112" s="186">
        <f t="shared" si="332"/>
        <v>0</v>
      </c>
      <c r="T112" s="191">
        <f t="shared" si="333"/>
        <v>0</v>
      </c>
      <c r="U112" s="181">
        <f t="shared" si="334"/>
        <v>0</v>
      </c>
      <c r="V112" s="192">
        <f t="shared" si="314"/>
        <v>0</v>
      </c>
      <c r="X112" s="83">
        <v>2</v>
      </c>
      <c r="Y112" s="186">
        <f t="shared" si="335"/>
        <v>2</v>
      </c>
      <c r="Z112" s="191">
        <f t="shared" si="336"/>
        <v>0</v>
      </c>
      <c r="AA112" s="83"/>
      <c r="AB112" s="187">
        <f t="shared" si="337"/>
        <v>2</v>
      </c>
      <c r="AC112" s="191">
        <f t="shared" si="338"/>
        <v>0</v>
      </c>
      <c r="AD112" s="83"/>
      <c r="AE112" s="187">
        <f t="shared" si="339"/>
        <v>2</v>
      </c>
      <c r="AF112" s="191">
        <f t="shared" si="340"/>
        <v>0</v>
      </c>
      <c r="AG112" s="83"/>
      <c r="AH112" s="187">
        <f t="shared" si="341"/>
        <v>2</v>
      </c>
      <c r="AI112" s="191">
        <f t="shared" si="342"/>
        <v>0</v>
      </c>
      <c r="AJ112" s="83"/>
      <c r="AK112" s="187">
        <f t="shared" si="343"/>
        <v>2</v>
      </c>
      <c r="AL112" s="191">
        <f t="shared" si="344"/>
        <v>0</v>
      </c>
      <c r="AM112" s="181">
        <f t="shared" si="345"/>
        <v>2</v>
      </c>
      <c r="AN112" s="192">
        <f t="shared" si="346"/>
        <v>0</v>
      </c>
    </row>
    <row r="113" spans="2:40" outlineLevel="1" x14ac:dyDescent="0.25">
      <c r="B113" s="52" t="s">
        <v>289</v>
      </c>
      <c r="C113" s="64" t="s">
        <v>22</v>
      </c>
      <c r="D113" s="83">
        <v>0</v>
      </c>
      <c r="E113" s="83">
        <v>0</v>
      </c>
      <c r="F113" s="83">
        <v>0</v>
      </c>
      <c r="G113" s="186">
        <f t="shared" si="309"/>
        <v>0</v>
      </c>
      <c r="H113" s="191">
        <f t="shared" si="310"/>
        <v>0</v>
      </c>
      <c r="I113" s="83">
        <v>0</v>
      </c>
      <c r="J113" s="187">
        <f t="shared" si="2"/>
        <v>0</v>
      </c>
      <c r="K113" s="191">
        <f t="shared" si="3"/>
        <v>0</v>
      </c>
      <c r="L113" s="83">
        <v>0</v>
      </c>
      <c r="M113" s="187">
        <f t="shared" si="4"/>
        <v>0</v>
      </c>
      <c r="N113" s="191">
        <f t="shared" si="5"/>
        <v>0</v>
      </c>
      <c r="O113" s="85"/>
      <c r="P113" s="152"/>
      <c r="Q113" s="152"/>
      <c r="R113" s="85"/>
      <c r="S113" s="186">
        <f t="shared" si="311"/>
        <v>0</v>
      </c>
      <c r="T113" s="191">
        <f t="shared" si="312"/>
        <v>0</v>
      </c>
      <c r="U113" s="181">
        <f t="shared" si="313"/>
        <v>0</v>
      </c>
      <c r="V113" s="192">
        <f t="shared" si="314"/>
        <v>0</v>
      </c>
      <c r="X113" s="83">
        <v>1</v>
      </c>
      <c r="Y113" s="186">
        <f t="shared" si="315"/>
        <v>1</v>
      </c>
      <c r="Z113" s="191">
        <f t="shared" si="316"/>
        <v>0</v>
      </c>
      <c r="AA113" s="83">
        <v>3</v>
      </c>
      <c r="AB113" s="187">
        <f t="shared" si="317"/>
        <v>4</v>
      </c>
      <c r="AC113" s="191">
        <f t="shared" si="318"/>
        <v>3</v>
      </c>
      <c r="AD113" s="83"/>
      <c r="AE113" s="187">
        <f t="shared" si="319"/>
        <v>4</v>
      </c>
      <c r="AF113" s="191">
        <f t="shared" si="320"/>
        <v>0</v>
      </c>
      <c r="AG113" s="83"/>
      <c r="AH113" s="187">
        <f t="shared" si="321"/>
        <v>4</v>
      </c>
      <c r="AI113" s="191">
        <f t="shared" si="322"/>
        <v>0</v>
      </c>
      <c r="AJ113" s="83"/>
      <c r="AK113" s="187">
        <f t="shared" si="323"/>
        <v>4</v>
      </c>
      <c r="AL113" s="191">
        <f t="shared" si="324"/>
        <v>0</v>
      </c>
      <c r="AM113" s="181">
        <f t="shared" si="325"/>
        <v>4</v>
      </c>
      <c r="AN113" s="192">
        <f t="shared" si="326"/>
        <v>0.41421356237309492</v>
      </c>
    </row>
    <row r="114" spans="2:40" outlineLevel="1" x14ac:dyDescent="0.25">
      <c r="B114" s="52" t="s">
        <v>290</v>
      </c>
      <c r="C114" s="64" t="s">
        <v>22</v>
      </c>
      <c r="D114" s="83">
        <v>0</v>
      </c>
      <c r="E114" s="83">
        <v>0</v>
      </c>
      <c r="F114" s="83">
        <v>0</v>
      </c>
      <c r="G114" s="186">
        <f t="shared" si="309"/>
        <v>0</v>
      </c>
      <c r="H114" s="191">
        <f t="shared" ref="H114" si="347">IFERROR((G114-E114)/E114,0)</f>
        <v>0</v>
      </c>
      <c r="I114" s="83">
        <v>0</v>
      </c>
      <c r="J114" s="187">
        <f t="shared" ref="J114" si="348">G114+I114</f>
        <v>0</v>
      </c>
      <c r="K114" s="191">
        <f t="shared" ref="K114" si="349">IFERROR((J114-G114)/G114,0)</f>
        <v>0</v>
      </c>
      <c r="L114" s="83">
        <v>0</v>
      </c>
      <c r="M114" s="187">
        <f t="shared" ref="M114" si="350">J114+L114</f>
        <v>0</v>
      </c>
      <c r="N114" s="191">
        <f t="shared" ref="N114" si="351">IFERROR((M114-J114)/J114,0)</f>
        <v>0</v>
      </c>
      <c r="O114" s="85"/>
      <c r="P114" s="152"/>
      <c r="Q114" s="152"/>
      <c r="R114" s="85"/>
      <c r="S114" s="186">
        <f t="shared" ref="S114" si="352">M114+R114</f>
        <v>0</v>
      </c>
      <c r="T114" s="191">
        <f t="shared" ref="T114" si="353">IFERROR((S114-M114)/M114,0)</f>
        <v>0</v>
      </c>
      <c r="U114" s="181">
        <f t="shared" ref="U114" si="354">D114+F114+I114+L114+R114</f>
        <v>0</v>
      </c>
      <c r="V114" s="192">
        <f t="shared" si="314"/>
        <v>0</v>
      </c>
      <c r="X114" s="83">
        <v>1</v>
      </c>
      <c r="Y114" s="186">
        <f t="shared" ref="Y114" si="355">S114+X114</f>
        <v>1</v>
      </c>
      <c r="Z114" s="191">
        <f t="shared" ref="Z114" si="356">IFERROR((Y114-S114)/S114,0)</f>
        <v>0</v>
      </c>
      <c r="AA114" s="83">
        <v>3</v>
      </c>
      <c r="AB114" s="187">
        <f t="shared" ref="AB114" si="357">Y114+AA114</f>
        <v>4</v>
      </c>
      <c r="AC114" s="191">
        <f t="shared" ref="AC114" si="358">IFERROR((AB114-Y114)/Y114,0)</f>
        <v>3</v>
      </c>
      <c r="AD114" s="83"/>
      <c r="AE114" s="187">
        <f t="shared" ref="AE114" si="359">AB114+AD114</f>
        <v>4</v>
      </c>
      <c r="AF114" s="191">
        <f t="shared" ref="AF114" si="360">IFERROR((AE114-AB114)/AB114,0)</f>
        <v>0</v>
      </c>
      <c r="AG114" s="83"/>
      <c r="AH114" s="187">
        <f t="shared" ref="AH114" si="361">AE114+AG114</f>
        <v>4</v>
      </c>
      <c r="AI114" s="191">
        <f t="shared" ref="AI114" si="362">IFERROR((AH114-AE114)/AE114,0)</f>
        <v>0</v>
      </c>
      <c r="AJ114" s="83"/>
      <c r="AK114" s="187">
        <f t="shared" ref="AK114" si="363">AH114+AJ114</f>
        <v>4</v>
      </c>
      <c r="AL114" s="191">
        <f t="shared" ref="AL114" si="364">IFERROR((AK114-AH114)/AH114,0)</f>
        <v>0</v>
      </c>
      <c r="AM114" s="181">
        <f t="shared" ref="AM114" si="365">X114+AA114+AD114+AG114+AJ114</f>
        <v>4</v>
      </c>
      <c r="AN114" s="192">
        <f t="shared" ref="AN114" si="366">IFERROR((AK114/Y114)^(1/4)-1,0)</f>
        <v>0.41421356237309492</v>
      </c>
    </row>
    <row r="115" spans="2:40" outlineLevel="1" x14ac:dyDescent="0.25">
      <c r="B115" s="52" t="s">
        <v>291</v>
      </c>
      <c r="C115" s="64" t="s">
        <v>22</v>
      </c>
      <c r="D115" s="83">
        <v>0</v>
      </c>
      <c r="E115" s="83">
        <v>0</v>
      </c>
      <c r="F115" s="83">
        <v>0</v>
      </c>
      <c r="G115" s="186">
        <f t="shared" si="309"/>
        <v>0</v>
      </c>
      <c r="H115" s="191">
        <f t="shared" si="310"/>
        <v>0</v>
      </c>
      <c r="I115" s="83">
        <v>0</v>
      </c>
      <c r="J115" s="187">
        <f t="shared" si="2"/>
        <v>0</v>
      </c>
      <c r="K115" s="191">
        <f t="shared" si="3"/>
        <v>0</v>
      </c>
      <c r="L115" s="83">
        <v>0</v>
      </c>
      <c r="M115" s="187">
        <f t="shared" si="4"/>
        <v>0</v>
      </c>
      <c r="N115" s="191">
        <f t="shared" si="5"/>
        <v>0</v>
      </c>
      <c r="O115" s="85"/>
      <c r="P115" s="152"/>
      <c r="Q115" s="152"/>
      <c r="R115" s="85">
        <v>1</v>
      </c>
      <c r="S115" s="186">
        <f t="shared" si="311"/>
        <v>1</v>
      </c>
      <c r="T115" s="191">
        <f t="shared" si="312"/>
        <v>0</v>
      </c>
      <c r="U115" s="181">
        <f t="shared" si="313"/>
        <v>1</v>
      </c>
      <c r="V115" s="192">
        <f t="shared" si="314"/>
        <v>0</v>
      </c>
      <c r="X115" s="83">
        <v>1</v>
      </c>
      <c r="Y115" s="186">
        <f t="shared" si="315"/>
        <v>2</v>
      </c>
      <c r="Z115" s="191">
        <f t="shared" si="316"/>
        <v>1</v>
      </c>
      <c r="AA115" s="83">
        <v>1</v>
      </c>
      <c r="AB115" s="187">
        <f t="shared" si="317"/>
        <v>3</v>
      </c>
      <c r="AC115" s="191">
        <f t="shared" si="318"/>
        <v>0.5</v>
      </c>
      <c r="AD115" s="83"/>
      <c r="AE115" s="187">
        <f t="shared" si="319"/>
        <v>3</v>
      </c>
      <c r="AF115" s="191">
        <f t="shared" si="320"/>
        <v>0</v>
      </c>
      <c r="AG115" s="83"/>
      <c r="AH115" s="187">
        <f t="shared" si="321"/>
        <v>3</v>
      </c>
      <c r="AI115" s="191">
        <f t="shared" si="322"/>
        <v>0</v>
      </c>
      <c r="AJ115" s="83"/>
      <c r="AK115" s="187">
        <f t="shared" si="323"/>
        <v>3</v>
      </c>
      <c r="AL115" s="191">
        <f t="shared" si="324"/>
        <v>0</v>
      </c>
      <c r="AM115" s="181">
        <f t="shared" si="325"/>
        <v>2</v>
      </c>
      <c r="AN115" s="192">
        <f t="shared" si="326"/>
        <v>0.1066819197003217</v>
      </c>
    </row>
    <row r="116" spans="2:40" outlineLevel="1" x14ac:dyDescent="0.25">
      <c r="B116" s="52" t="s">
        <v>307</v>
      </c>
      <c r="C116" s="64" t="s">
        <v>22</v>
      </c>
      <c r="D116" s="83"/>
      <c r="E116" s="83"/>
      <c r="F116" s="83"/>
      <c r="G116" s="186"/>
      <c r="H116" s="191">
        <f t="shared" si="310"/>
        <v>0</v>
      </c>
      <c r="I116" s="83"/>
      <c r="J116" s="187"/>
      <c r="K116" s="191">
        <f t="shared" si="3"/>
        <v>0</v>
      </c>
      <c r="L116" s="83"/>
      <c r="M116" s="187"/>
      <c r="N116" s="191">
        <f t="shared" si="5"/>
        <v>0</v>
      </c>
      <c r="O116" s="85"/>
      <c r="P116" s="152"/>
      <c r="Q116" s="152"/>
      <c r="R116" s="85"/>
      <c r="S116" s="186">
        <f t="shared" si="311"/>
        <v>0</v>
      </c>
      <c r="T116" s="191">
        <f t="shared" si="312"/>
        <v>0</v>
      </c>
      <c r="U116" s="181">
        <f t="shared" si="313"/>
        <v>0</v>
      </c>
      <c r="V116" s="192">
        <f t="shared" si="314"/>
        <v>0</v>
      </c>
      <c r="X116" s="83"/>
      <c r="Y116" s="186"/>
      <c r="Z116" s="191">
        <f t="shared" si="316"/>
        <v>0</v>
      </c>
      <c r="AA116" s="83"/>
      <c r="AB116" s="187"/>
      <c r="AC116" s="191">
        <f t="shared" si="318"/>
        <v>0</v>
      </c>
      <c r="AD116" s="83"/>
      <c r="AE116" s="187"/>
      <c r="AF116" s="191">
        <f t="shared" si="320"/>
        <v>0</v>
      </c>
      <c r="AG116" s="83"/>
      <c r="AH116" s="187"/>
      <c r="AI116" s="191">
        <f t="shared" si="322"/>
        <v>0</v>
      </c>
      <c r="AJ116" s="83"/>
      <c r="AK116" s="187"/>
      <c r="AL116" s="191">
        <f t="shared" si="324"/>
        <v>0</v>
      </c>
      <c r="AM116" s="181"/>
      <c r="AN116" s="192">
        <f t="shared" si="326"/>
        <v>0</v>
      </c>
    </row>
    <row r="117" spans="2:40" outlineLevel="1" x14ac:dyDescent="0.25">
      <c r="B117" s="52" t="s">
        <v>304</v>
      </c>
      <c r="C117" s="64" t="s">
        <v>22</v>
      </c>
      <c r="D117" s="83"/>
      <c r="E117" s="83"/>
      <c r="F117" s="83"/>
      <c r="G117" s="186"/>
      <c r="H117" s="191">
        <f t="shared" si="310"/>
        <v>0</v>
      </c>
      <c r="I117" s="83"/>
      <c r="J117" s="187"/>
      <c r="K117" s="191">
        <f t="shared" si="3"/>
        <v>0</v>
      </c>
      <c r="L117" s="83"/>
      <c r="M117" s="187"/>
      <c r="N117" s="191">
        <f t="shared" si="5"/>
        <v>0</v>
      </c>
      <c r="O117" s="85"/>
      <c r="P117" s="152"/>
      <c r="Q117" s="152"/>
      <c r="R117" s="85"/>
      <c r="S117" s="186">
        <f t="shared" si="311"/>
        <v>0</v>
      </c>
      <c r="T117" s="191">
        <f t="shared" si="312"/>
        <v>0</v>
      </c>
      <c r="U117" s="181">
        <f t="shared" si="313"/>
        <v>0</v>
      </c>
      <c r="V117" s="192">
        <f t="shared" si="314"/>
        <v>0</v>
      </c>
      <c r="X117" s="83"/>
      <c r="Y117" s="186"/>
      <c r="Z117" s="191">
        <f t="shared" si="316"/>
        <v>0</v>
      </c>
      <c r="AA117" s="83"/>
      <c r="AB117" s="187"/>
      <c r="AC117" s="191">
        <f t="shared" si="318"/>
        <v>0</v>
      </c>
      <c r="AD117" s="83"/>
      <c r="AE117" s="187"/>
      <c r="AF117" s="191">
        <f t="shared" si="320"/>
        <v>0</v>
      </c>
      <c r="AG117" s="83"/>
      <c r="AH117" s="187"/>
      <c r="AI117" s="191">
        <f t="shared" si="322"/>
        <v>0</v>
      </c>
      <c r="AJ117" s="83"/>
      <c r="AK117" s="187"/>
      <c r="AL117" s="191">
        <f t="shared" si="324"/>
        <v>0</v>
      </c>
      <c r="AM117" s="181"/>
      <c r="AN117" s="192">
        <f t="shared" si="326"/>
        <v>0</v>
      </c>
    </row>
    <row r="118" spans="2:40" outlineLevel="1" x14ac:dyDescent="0.25">
      <c r="B118" s="52" t="s">
        <v>305</v>
      </c>
      <c r="C118" s="64" t="s">
        <v>22</v>
      </c>
      <c r="D118" s="83"/>
      <c r="E118" s="83"/>
      <c r="F118" s="83"/>
      <c r="G118" s="186"/>
      <c r="H118" s="191">
        <f t="shared" si="310"/>
        <v>0</v>
      </c>
      <c r="I118" s="83"/>
      <c r="J118" s="187"/>
      <c r="K118" s="191">
        <f t="shared" si="3"/>
        <v>0</v>
      </c>
      <c r="L118" s="83"/>
      <c r="M118" s="187"/>
      <c r="N118" s="191">
        <f t="shared" si="5"/>
        <v>0</v>
      </c>
      <c r="O118" s="85"/>
      <c r="P118" s="152"/>
      <c r="Q118" s="152"/>
      <c r="R118" s="85"/>
      <c r="S118" s="186">
        <f t="shared" si="311"/>
        <v>0</v>
      </c>
      <c r="T118" s="191">
        <f t="shared" si="312"/>
        <v>0</v>
      </c>
      <c r="U118" s="181">
        <f t="shared" si="313"/>
        <v>0</v>
      </c>
      <c r="V118" s="192">
        <f t="shared" si="314"/>
        <v>0</v>
      </c>
      <c r="X118" s="83"/>
      <c r="Y118" s="186"/>
      <c r="Z118" s="191">
        <f t="shared" si="316"/>
        <v>0</v>
      </c>
      <c r="AA118" s="83"/>
      <c r="AB118" s="187"/>
      <c r="AC118" s="191">
        <f t="shared" si="318"/>
        <v>0</v>
      </c>
      <c r="AD118" s="83"/>
      <c r="AE118" s="187"/>
      <c r="AF118" s="191">
        <f t="shared" si="320"/>
        <v>0</v>
      </c>
      <c r="AG118" s="83"/>
      <c r="AH118" s="187"/>
      <c r="AI118" s="191">
        <f t="shared" si="322"/>
        <v>0</v>
      </c>
      <c r="AJ118" s="83"/>
      <c r="AK118" s="187"/>
      <c r="AL118" s="191">
        <f t="shared" si="324"/>
        <v>0</v>
      </c>
      <c r="AM118" s="181"/>
      <c r="AN118" s="192">
        <f t="shared" si="326"/>
        <v>0</v>
      </c>
    </row>
    <row r="119" spans="2:40" outlineLevel="1" x14ac:dyDescent="0.25">
      <c r="B119" s="52" t="s">
        <v>306</v>
      </c>
      <c r="C119" s="64" t="s">
        <v>22</v>
      </c>
      <c r="D119" s="83"/>
      <c r="E119" s="83"/>
      <c r="F119" s="83"/>
      <c r="G119" s="186"/>
      <c r="H119" s="191">
        <f t="shared" si="310"/>
        <v>0</v>
      </c>
      <c r="I119" s="83"/>
      <c r="J119" s="187"/>
      <c r="K119" s="191">
        <f t="shared" si="3"/>
        <v>0</v>
      </c>
      <c r="L119" s="83"/>
      <c r="M119" s="187"/>
      <c r="N119" s="191">
        <f t="shared" si="5"/>
        <v>0</v>
      </c>
      <c r="O119" s="85"/>
      <c r="P119" s="152"/>
      <c r="Q119" s="152"/>
      <c r="R119" s="85"/>
      <c r="S119" s="186">
        <f t="shared" si="311"/>
        <v>0</v>
      </c>
      <c r="T119" s="191">
        <f t="shared" si="312"/>
        <v>0</v>
      </c>
      <c r="U119" s="181">
        <f t="shared" si="313"/>
        <v>0</v>
      </c>
      <c r="V119" s="192">
        <f t="shared" si="314"/>
        <v>0</v>
      </c>
      <c r="X119" s="83"/>
      <c r="Y119" s="186"/>
      <c r="Z119" s="191">
        <f t="shared" si="316"/>
        <v>0</v>
      </c>
      <c r="AA119" s="83"/>
      <c r="AB119" s="187"/>
      <c r="AC119" s="191">
        <f t="shared" si="318"/>
        <v>0</v>
      </c>
      <c r="AD119" s="83"/>
      <c r="AE119" s="187"/>
      <c r="AF119" s="191">
        <f t="shared" si="320"/>
        <v>0</v>
      </c>
      <c r="AG119" s="83"/>
      <c r="AH119" s="187"/>
      <c r="AI119" s="191">
        <f t="shared" si="322"/>
        <v>0</v>
      </c>
      <c r="AJ119" s="83"/>
      <c r="AK119" s="187"/>
      <c r="AL119" s="191">
        <f t="shared" si="324"/>
        <v>0</v>
      </c>
      <c r="AM119" s="181"/>
      <c r="AN119" s="192">
        <f t="shared" si="326"/>
        <v>0</v>
      </c>
    </row>
    <row r="120" spans="2:40" outlineLevel="1" x14ac:dyDescent="0.25">
      <c r="B120" s="52" t="s">
        <v>308</v>
      </c>
      <c r="C120" s="64" t="s">
        <v>22</v>
      </c>
      <c r="D120" s="83"/>
      <c r="E120" s="83"/>
      <c r="F120" s="83"/>
      <c r="G120" s="186"/>
      <c r="H120" s="191">
        <f t="shared" si="310"/>
        <v>0</v>
      </c>
      <c r="I120" s="83"/>
      <c r="J120" s="187"/>
      <c r="K120" s="191">
        <f t="shared" si="3"/>
        <v>0</v>
      </c>
      <c r="L120" s="83"/>
      <c r="M120" s="187"/>
      <c r="N120" s="191">
        <f t="shared" si="5"/>
        <v>0</v>
      </c>
      <c r="O120" s="85"/>
      <c r="P120" s="152"/>
      <c r="Q120" s="152"/>
      <c r="R120" s="85"/>
      <c r="S120" s="186">
        <f t="shared" si="311"/>
        <v>0</v>
      </c>
      <c r="T120" s="191">
        <f t="shared" si="312"/>
        <v>0</v>
      </c>
      <c r="U120" s="181">
        <f t="shared" si="313"/>
        <v>0</v>
      </c>
      <c r="V120" s="192">
        <f t="shared" si="314"/>
        <v>0</v>
      </c>
      <c r="X120" s="83"/>
      <c r="Y120" s="186"/>
      <c r="Z120" s="191">
        <f t="shared" si="316"/>
        <v>0</v>
      </c>
      <c r="AA120" s="83"/>
      <c r="AB120" s="187"/>
      <c r="AC120" s="191">
        <f t="shared" si="318"/>
        <v>0</v>
      </c>
      <c r="AD120" s="83"/>
      <c r="AE120" s="187"/>
      <c r="AF120" s="191">
        <f t="shared" si="320"/>
        <v>0</v>
      </c>
      <c r="AG120" s="83"/>
      <c r="AH120" s="187"/>
      <c r="AI120" s="191">
        <f t="shared" si="322"/>
        <v>0</v>
      </c>
      <c r="AJ120" s="83"/>
      <c r="AK120" s="187"/>
      <c r="AL120" s="191">
        <f t="shared" si="324"/>
        <v>0</v>
      </c>
      <c r="AM120" s="181"/>
      <c r="AN120" s="192">
        <f t="shared" si="326"/>
        <v>0</v>
      </c>
    </row>
    <row r="121" spans="2:40" outlineLevel="1" x14ac:dyDescent="0.25">
      <c r="B121" s="52"/>
      <c r="C121" s="64"/>
      <c r="D121" s="83"/>
      <c r="E121" s="83"/>
      <c r="F121" s="83"/>
      <c r="G121" s="186"/>
      <c r="H121" s="191">
        <f t="shared" si="310"/>
        <v>0</v>
      </c>
      <c r="I121" s="83"/>
      <c r="J121" s="187"/>
      <c r="K121" s="191">
        <f t="shared" si="3"/>
        <v>0</v>
      </c>
      <c r="L121" s="83"/>
      <c r="M121" s="187"/>
      <c r="N121" s="191">
        <f t="shared" si="5"/>
        <v>0</v>
      </c>
      <c r="O121" s="85"/>
      <c r="P121" s="152"/>
      <c r="Q121" s="152"/>
      <c r="R121" s="85"/>
      <c r="S121" s="186">
        <f t="shared" si="311"/>
        <v>0</v>
      </c>
      <c r="T121" s="191">
        <f t="shared" si="312"/>
        <v>0</v>
      </c>
      <c r="U121" s="181">
        <f t="shared" si="313"/>
        <v>0</v>
      </c>
      <c r="V121" s="192">
        <f t="shared" si="314"/>
        <v>0</v>
      </c>
      <c r="X121" s="83"/>
      <c r="Y121" s="186"/>
      <c r="Z121" s="191">
        <f t="shared" si="316"/>
        <v>0</v>
      </c>
      <c r="AA121" s="83"/>
      <c r="AB121" s="187"/>
      <c r="AC121" s="191">
        <f t="shared" si="318"/>
        <v>0</v>
      </c>
      <c r="AD121" s="83"/>
      <c r="AE121" s="187"/>
      <c r="AF121" s="191">
        <f t="shared" si="320"/>
        <v>0</v>
      </c>
      <c r="AG121" s="83"/>
      <c r="AH121" s="187"/>
      <c r="AI121" s="191">
        <f t="shared" si="322"/>
        <v>0</v>
      </c>
      <c r="AJ121" s="83"/>
      <c r="AK121" s="187"/>
      <c r="AL121" s="191">
        <f t="shared" si="324"/>
        <v>0</v>
      </c>
      <c r="AM121" s="181"/>
      <c r="AN121" s="192">
        <f t="shared" si="326"/>
        <v>0</v>
      </c>
    </row>
    <row r="122" spans="2:40" outlineLevel="1" x14ac:dyDescent="0.25">
      <c r="B122" s="349" t="s">
        <v>90</v>
      </c>
      <c r="C122" s="350"/>
      <c r="D122" s="350"/>
      <c r="E122" s="350"/>
      <c r="F122" s="350"/>
      <c r="G122" s="350"/>
      <c r="H122" s="350"/>
      <c r="I122" s="350"/>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1"/>
    </row>
    <row r="123" spans="2:40" outlineLevel="1" x14ac:dyDescent="0.25">
      <c r="B123" s="52" t="s">
        <v>82</v>
      </c>
      <c r="C123" s="49" t="s">
        <v>22</v>
      </c>
      <c r="D123" s="188">
        <f>SUM(D107:D121)</f>
        <v>0</v>
      </c>
      <c r="E123" s="189">
        <f>SUM(E107:E121)</f>
        <v>0</v>
      </c>
      <c r="F123" s="188">
        <f>SUM(F107:F121)</f>
        <v>0</v>
      </c>
      <c r="G123" s="187">
        <f>SUM(G107:G121)</f>
        <v>0</v>
      </c>
      <c r="H123" s="191">
        <f>IFERROR((G123-E123)/E123,0)</f>
        <v>0</v>
      </c>
      <c r="I123" s="188">
        <f>SUM(I107:I121)</f>
        <v>0</v>
      </c>
      <c r="J123" s="187">
        <f>SUM(J107:J121)</f>
        <v>0</v>
      </c>
      <c r="K123" s="191">
        <f t="shared" si="3"/>
        <v>0</v>
      </c>
      <c r="L123" s="188">
        <f>SUM(L107:L121)</f>
        <v>0</v>
      </c>
      <c r="M123" s="187">
        <f>SUM(M107:M121)</f>
        <v>0</v>
      </c>
      <c r="N123" s="191">
        <f t="shared" si="5"/>
        <v>0</v>
      </c>
      <c r="O123" s="188">
        <f>SUM(O107:O121)</f>
        <v>0</v>
      </c>
      <c r="P123" s="152"/>
      <c r="Q123" s="152"/>
      <c r="R123" s="188">
        <f>SUM(R107:R121)</f>
        <v>1</v>
      </c>
      <c r="S123" s="187">
        <f>M123+R123</f>
        <v>1</v>
      </c>
      <c r="T123" s="191">
        <f>IFERROR((S123-M123)/M123,0)</f>
        <v>0</v>
      </c>
      <c r="U123" s="181">
        <f>D123+F123+I123+L123+R123</f>
        <v>1</v>
      </c>
      <c r="V123" s="192">
        <f>IFERROR((S123/E123)^(1/4)-1,0)</f>
        <v>0</v>
      </c>
      <c r="X123" s="188">
        <f>SUM(X107:X121)</f>
        <v>8</v>
      </c>
      <c r="Y123" s="187">
        <f>SUM(Y107:Y121)</f>
        <v>9</v>
      </c>
      <c r="Z123" s="191">
        <f>IFERROR((Y123-S123)/S123,0)</f>
        <v>8</v>
      </c>
      <c r="AA123" s="188">
        <f>SUM(AA107:AA121)</f>
        <v>10</v>
      </c>
      <c r="AB123" s="187">
        <f>SUM(AB107:AB121)</f>
        <v>19</v>
      </c>
      <c r="AC123" s="191">
        <f t="shared" ref="AC123" si="367">IFERROR((AB123-Y123)/Y123,0)</f>
        <v>1.1111111111111112</v>
      </c>
      <c r="AD123" s="188">
        <f>SUM(AD107:AD121)</f>
        <v>0</v>
      </c>
      <c r="AE123" s="187">
        <f>SUM(AE107:AE121)</f>
        <v>19</v>
      </c>
      <c r="AF123" s="191">
        <f t="shared" ref="AF123" si="368">IFERROR((AE123-AB123)/AB123,0)</f>
        <v>0</v>
      </c>
      <c r="AG123" s="188">
        <f>SUM(AG107:AG121)</f>
        <v>0</v>
      </c>
      <c r="AH123" s="187">
        <f>SUM(AH107:AH121)</f>
        <v>19</v>
      </c>
      <c r="AI123" s="191">
        <f t="shared" ref="AI123" si="369">IFERROR((AH123-AE123)/AE123,0)</f>
        <v>0</v>
      </c>
      <c r="AJ123" s="188">
        <f>SUM(AJ107:AJ121)</f>
        <v>0</v>
      </c>
      <c r="AK123" s="187">
        <f>SUM(AK107:AK121)</f>
        <v>19</v>
      </c>
      <c r="AL123" s="191">
        <f t="shared" ref="AL123" si="370">IFERROR((AK123-AH123)/AH123,0)</f>
        <v>0</v>
      </c>
      <c r="AM123" s="187">
        <f>SUM(AM107:AM121)</f>
        <v>18</v>
      </c>
      <c r="AN123" s="192">
        <f t="shared" si="326"/>
        <v>0.20539052365345811</v>
      </c>
    </row>
    <row r="125" spans="2:40" ht="17.25" customHeight="1" x14ac:dyDescent="0.25">
      <c r="B125" s="352" t="s">
        <v>24</v>
      </c>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67"/>
    </row>
    <row r="126" spans="2:40" ht="5.45" customHeight="1" outlineLevel="1" x14ac:dyDescent="0.2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row>
    <row r="127" spans="2:40" ht="15" customHeight="1" outlineLevel="1" x14ac:dyDescent="0.25">
      <c r="B127" s="368"/>
      <c r="C127" s="369" t="s">
        <v>20</v>
      </c>
      <c r="D127" s="372" t="s">
        <v>262</v>
      </c>
      <c r="E127" s="373"/>
      <c r="F127" s="373"/>
      <c r="G127" s="373"/>
      <c r="H127" s="373"/>
      <c r="I127" s="373"/>
      <c r="J127" s="373"/>
      <c r="K127" s="373"/>
      <c r="L127" s="373"/>
      <c r="M127" s="373"/>
      <c r="N127" s="373"/>
      <c r="O127" s="373"/>
      <c r="P127" s="373"/>
      <c r="Q127" s="374"/>
      <c r="R127" s="372" t="s">
        <v>260</v>
      </c>
      <c r="S127" s="373"/>
      <c r="T127" s="374"/>
      <c r="U127" s="388" t="str">
        <f xml:space="preserve"> D128&amp;" - "&amp;R128</f>
        <v>2018 - 2022</v>
      </c>
      <c r="V127" s="389"/>
      <c r="X127" s="372" t="s">
        <v>261</v>
      </c>
      <c r="Y127" s="373"/>
      <c r="Z127" s="373"/>
      <c r="AA127" s="373"/>
      <c r="AB127" s="373"/>
      <c r="AC127" s="373"/>
      <c r="AD127" s="373"/>
      <c r="AE127" s="373"/>
      <c r="AF127" s="373"/>
      <c r="AG127" s="373"/>
      <c r="AH127" s="373"/>
      <c r="AI127" s="373"/>
      <c r="AJ127" s="373"/>
      <c r="AK127" s="373"/>
      <c r="AL127" s="373"/>
      <c r="AM127" s="373"/>
      <c r="AN127" s="375"/>
    </row>
    <row r="128" spans="2:40" ht="15" customHeight="1" outlineLevel="1" x14ac:dyDescent="0.25">
      <c r="B128" s="368"/>
      <c r="C128" s="370"/>
      <c r="D128" s="372">
        <f>$C$3-5</f>
        <v>2018</v>
      </c>
      <c r="E128" s="374"/>
      <c r="F128" s="372">
        <f>$C$3-4</f>
        <v>2019</v>
      </c>
      <c r="G128" s="373"/>
      <c r="H128" s="374"/>
      <c r="I128" s="372">
        <f>$C$3-3</f>
        <v>2020</v>
      </c>
      <c r="J128" s="373"/>
      <c r="K128" s="374"/>
      <c r="L128" s="372">
        <f>$C$3-2</f>
        <v>2021</v>
      </c>
      <c r="M128" s="373"/>
      <c r="N128" s="374"/>
      <c r="O128" s="372" t="str">
        <f>$C$3-1&amp;""&amp;" ("&amp;"Σεπτ"&amp;")"</f>
        <v>2022 (Σεπτ)</v>
      </c>
      <c r="P128" s="373"/>
      <c r="Q128" s="374"/>
      <c r="R128" s="372">
        <f>$C$3-1</f>
        <v>2022</v>
      </c>
      <c r="S128" s="373"/>
      <c r="T128" s="374"/>
      <c r="U128" s="390"/>
      <c r="V128" s="391"/>
      <c r="X128" s="372">
        <f>$C$3</f>
        <v>2023</v>
      </c>
      <c r="Y128" s="373"/>
      <c r="Z128" s="374"/>
      <c r="AA128" s="372">
        <f>$C$3+1</f>
        <v>2024</v>
      </c>
      <c r="AB128" s="373"/>
      <c r="AC128" s="374"/>
      <c r="AD128" s="372">
        <f>$C$3+2</f>
        <v>2025</v>
      </c>
      <c r="AE128" s="373"/>
      <c r="AF128" s="374"/>
      <c r="AG128" s="372">
        <f>$C$3+3</f>
        <v>2026</v>
      </c>
      <c r="AH128" s="373"/>
      <c r="AI128" s="374"/>
      <c r="AJ128" s="372">
        <f>$C$3+4</f>
        <v>2027</v>
      </c>
      <c r="AK128" s="373"/>
      <c r="AL128" s="374"/>
      <c r="AM128" s="376" t="str">
        <f>X128&amp;" - "&amp;AJ128</f>
        <v>2023 - 2027</v>
      </c>
      <c r="AN128" s="377"/>
    </row>
    <row r="129" spans="2:40" ht="30" outlineLevel="1" x14ac:dyDescent="0.25">
      <c r="B129" s="368"/>
      <c r="C129" s="371"/>
      <c r="D129" s="67" t="s">
        <v>6</v>
      </c>
      <c r="E129" s="68" t="s">
        <v>7</v>
      </c>
      <c r="F129" s="67" t="s">
        <v>6</v>
      </c>
      <c r="G129" s="9" t="s">
        <v>7</v>
      </c>
      <c r="H129" s="68" t="s">
        <v>81</v>
      </c>
      <c r="I129" s="67" t="s">
        <v>6</v>
      </c>
      <c r="J129" s="9" t="s">
        <v>7</v>
      </c>
      <c r="K129" s="68" t="s">
        <v>81</v>
      </c>
      <c r="L129" s="67" t="s">
        <v>6</v>
      </c>
      <c r="M129" s="9" t="s">
        <v>7</v>
      </c>
      <c r="N129" s="68" t="s">
        <v>81</v>
      </c>
      <c r="O129" s="67" t="s">
        <v>6</v>
      </c>
      <c r="P129" s="9" t="s">
        <v>7</v>
      </c>
      <c r="Q129" s="68" t="s">
        <v>81</v>
      </c>
      <c r="R129" s="67" t="s">
        <v>4</v>
      </c>
      <c r="S129" s="9" t="s">
        <v>5</v>
      </c>
      <c r="T129" s="68" t="s">
        <v>81</v>
      </c>
      <c r="U129" s="9" t="s">
        <v>17</v>
      </c>
      <c r="V129" s="60" t="s">
        <v>83</v>
      </c>
      <c r="X129" s="67" t="s">
        <v>6</v>
      </c>
      <c r="Y129" s="9" t="s">
        <v>7</v>
      </c>
      <c r="Z129" s="68" t="s">
        <v>81</v>
      </c>
      <c r="AA129" s="67" t="s">
        <v>6</v>
      </c>
      <c r="AB129" s="9" t="s">
        <v>7</v>
      </c>
      <c r="AC129" s="68" t="s">
        <v>81</v>
      </c>
      <c r="AD129" s="67" t="s">
        <v>6</v>
      </c>
      <c r="AE129" s="9" t="s">
        <v>7</v>
      </c>
      <c r="AF129" s="68" t="s">
        <v>81</v>
      </c>
      <c r="AG129" s="67" t="s">
        <v>6</v>
      </c>
      <c r="AH129" s="9" t="s">
        <v>7</v>
      </c>
      <c r="AI129" s="68" t="s">
        <v>81</v>
      </c>
      <c r="AJ129" s="67" t="s">
        <v>6</v>
      </c>
      <c r="AK129" s="9" t="s">
        <v>7</v>
      </c>
      <c r="AL129" s="68" t="s">
        <v>81</v>
      </c>
      <c r="AM129" s="9" t="s">
        <v>17</v>
      </c>
      <c r="AN129" s="60" t="s">
        <v>83</v>
      </c>
    </row>
    <row r="130" spans="2:40" outlineLevel="1" x14ac:dyDescent="0.25">
      <c r="B130" s="52" t="s">
        <v>283</v>
      </c>
      <c r="C130" s="64" t="s">
        <v>22</v>
      </c>
      <c r="D130" s="83">
        <v>0</v>
      </c>
      <c r="E130" s="83">
        <v>0</v>
      </c>
      <c r="F130" s="83">
        <v>0</v>
      </c>
      <c r="G130" s="186">
        <f t="shared" ref="G130:G133" si="371">E130+F130</f>
        <v>0</v>
      </c>
      <c r="H130" s="190">
        <f t="shared" ref="H130:H133" si="372">IFERROR((G130-E130)/E130,0)</f>
        <v>0</v>
      </c>
      <c r="I130" s="83">
        <v>0</v>
      </c>
      <c r="J130" s="186">
        <f t="shared" si="2"/>
        <v>0</v>
      </c>
      <c r="K130" s="190">
        <f t="shared" si="3"/>
        <v>0</v>
      </c>
      <c r="L130" s="83">
        <v>1</v>
      </c>
      <c r="M130" s="186">
        <f t="shared" si="4"/>
        <v>1</v>
      </c>
      <c r="N130" s="190">
        <f t="shared" si="5"/>
        <v>0</v>
      </c>
      <c r="O130" s="83"/>
      <c r="P130" s="150"/>
      <c r="Q130" s="152"/>
      <c r="R130" s="83"/>
      <c r="S130" s="186">
        <f t="shared" ref="S130:S133" si="373">M130+R130</f>
        <v>1</v>
      </c>
      <c r="T130" s="190">
        <f t="shared" ref="T130:T133" si="374">IFERROR((S130-M130)/M130,0)</f>
        <v>0</v>
      </c>
      <c r="U130" s="181">
        <f t="shared" ref="U130:U133" si="375">D130+F130+I130+L130+R130</f>
        <v>1</v>
      </c>
      <c r="V130" s="192">
        <f t="shared" ref="V130:V143" si="376">IFERROR((S130/E130)^(1/4)-1,0)</f>
        <v>0</v>
      </c>
      <c r="X130" s="83"/>
      <c r="Y130" s="186">
        <f t="shared" ref="Y130:Y133" si="377">S130+X130</f>
        <v>1</v>
      </c>
      <c r="Z130" s="190">
        <f t="shared" ref="Z130:Z133" si="378">IFERROR((Y130-S130)/S130,0)</f>
        <v>0</v>
      </c>
      <c r="AA130" s="83"/>
      <c r="AB130" s="186">
        <f t="shared" ref="AB130:AB133" si="379">Y130+AA130</f>
        <v>1</v>
      </c>
      <c r="AC130" s="190">
        <f t="shared" ref="AC130:AC133" si="380">IFERROR((AB130-Y130)/Y130,0)</f>
        <v>0</v>
      </c>
      <c r="AD130" s="83"/>
      <c r="AE130" s="186">
        <f t="shared" ref="AE130:AE133" si="381">AB130+AD130</f>
        <v>1</v>
      </c>
      <c r="AF130" s="190">
        <f t="shared" ref="AF130:AF133" si="382">IFERROR((AE130-AB130)/AB130,0)</f>
        <v>0</v>
      </c>
      <c r="AG130" s="83"/>
      <c r="AH130" s="186">
        <f t="shared" ref="AH130:AH133" si="383">AE130+AG130</f>
        <v>1</v>
      </c>
      <c r="AI130" s="190">
        <f t="shared" ref="AI130:AI133" si="384">IFERROR((AH130-AE130)/AE130,0)</f>
        <v>0</v>
      </c>
      <c r="AJ130" s="83"/>
      <c r="AK130" s="186">
        <f t="shared" ref="AK130:AK133" si="385">AH130+AJ130</f>
        <v>1</v>
      </c>
      <c r="AL130" s="190">
        <f t="shared" ref="AL130:AL133" si="386">IFERROR((AK130-AH130)/AH130,0)</f>
        <v>0</v>
      </c>
      <c r="AM130" s="193">
        <f>X130+AA130+AD130+AG130+AJ130</f>
        <v>0</v>
      </c>
      <c r="AN130" s="192">
        <f>IFERROR((AK130/Y130)^(1/4)-1,0)</f>
        <v>0</v>
      </c>
    </row>
    <row r="131" spans="2:40" outlineLevel="1" x14ac:dyDescent="0.25">
      <c r="B131" s="52" t="s">
        <v>284</v>
      </c>
      <c r="C131" s="64" t="s">
        <v>22</v>
      </c>
      <c r="D131" s="83">
        <v>0</v>
      </c>
      <c r="E131" s="83">
        <v>0</v>
      </c>
      <c r="F131" s="83">
        <v>0</v>
      </c>
      <c r="G131" s="186">
        <f t="shared" si="371"/>
        <v>0</v>
      </c>
      <c r="H131" s="190">
        <f t="shared" si="372"/>
        <v>0</v>
      </c>
      <c r="I131" s="83">
        <v>0</v>
      </c>
      <c r="J131" s="186">
        <f t="shared" si="2"/>
        <v>0</v>
      </c>
      <c r="K131" s="190">
        <f t="shared" si="3"/>
        <v>0</v>
      </c>
      <c r="L131" s="83">
        <v>0</v>
      </c>
      <c r="M131" s="186">
        <f t="shared" si="4"/>
        <v>0</v>
      </c>
      <c r="N131" s="190">
        <f t="shared" si="5"/>
        <v>0</v>
      </c>
      <c r="O131" s="83"/>
      <c r="P131" s="150"/>
      <c r="Q131" s="152"/>
      <c r="R131" s="83">
        <v>1</v>
      </c>
      <c r="S131" s="186">
        <f t="shared" si="373"/>
        <v>1</v>
      </c>
      <c r="T131" s="190">
        <f t="shared" si="374"/>
        <v>0</v>
      </c>
      <c r="U131" s="181">
        <f t="shared" si="375"/>
        <v>1</v>
      </c>
      <c r="V131" s="192">
        <f t="shared" si="376"/>
        <v>0</v>
      </c>
      <c r="X131" s="83"/>
      <c r="Y131" s="186">
        <f t="shared" si="377"/>
        <v>1</v>
      </c>
      <c r="Z131" s="190">
        <f t="shared" si="378"/>
        <v>0</v>
      </c>
      <c r="AA131" s="83"/>
      <c r="AB131" s="186">
        <f t="shared" si="379"/>
        <v>1</v>
      </c>
      <c r="AC131" s="190">
        <f t="shared" si="380"/>
        <v>0</v>
      </c>
      <c r="AD131" s="83"/>
      <c r="AE131" s="186">
        <f t="shared" si="381"/>
        <v>1</v>
      </c>
      <c r="AF131" s="190">
        <f t="shared" si="382"/>
        <v>0</v>
      </c>
      <c r="AG131" s="83"/>
      <c r="AH131" s="186">
        <f t="shared" si="383"/>
        <v>1</v>
      </c>
      <c r="AI131" s="190">
        <f t="shared" si="384"/>
        <v>0</v>
      </c>
      <c r="AJ131" s="83"/>
      <c r="AK131" s="186">
        <f t="shared" si="385"/>
        <v>1</v>
      </c>
      <c r="AL131" s="190">
        <f t="shared" si="386"/>
        <v>0</v>
      </c>
      <c r="AM131" s="181">
        <f t="shared" ref="AM131:AM133" si="387">X131+AA131+AD131+AG131+AJ131</f>
        <v>0</v>
      </c>
      <c r="AN131" s="192">
        <f t="shared" ref="AN131:AN146" si="388">IFERROR((AK131/Y131)^(1/4)-1,0)</f>
        <v>0</v>
      </c>
    </row>
    <row r="132" spans="2:40" outlineLevel="1" x14ac:dyDescent="0.25">
      <c r="B132" s="52" t="s">
        <v>285</v>
      </c>
      <c r="C132" s="64" t="s">
        <v>22</v>
      </c>
      <c r="D132" s="83">
        <v>0</v>
      </c>
      <c r="E132" s="83">
        <v>0</v>
      </c>
      <c r="F132" s="83">
        <v>0</v>
      </c>
      <c r="G132" s="186">
        <f t="shared" si="371"/>
        <v>0</v>
      </c>
      <c r="H132" s="190">
        <f t="shared" si="372"/>
        <v>0</v>
      </c>
      <c r="I132" s="83">
        <v>0</v>
      </c>
      <c r="J132" s="186">
        <f t="shared" si="2"/>
        <v>0</v>
      </c>
      <c r="K132" s="190">
        <f t="shared" si="3"/>
        <v>0</v>
      </c>
      <c r="L132" s="83">
        <v>0</v>
      </c>
      <c r="M132" s="186">
        <f t="shared" si="4"/>
        <v>0</v>
      </c>
      <c r="N132" s="190">
        <f t="shared" si="5"/>
        <v>0</v>
      </c>
      <c r="O132" s="83"/>
      <c r="P132" s="150"/>
      <c r="Q132" s="152"/>
      <c r="R132" s="83">
        <v>1</v>
      </c>
      <c r="S132" s="186">
        <f t="shared" si="373"/>
        <v>1</v>
      </c>
      <c r="T132" s="190">
        <f t="shared" si="374"/>
        <v>0</v>
      </c>
      <c r="U132" s="181">
        <f t="shared" si="375"/>
        <v>1</v>
      </c>
      <c r="V132" s="192">
        <f t="shared" si="376"/>
        <v>0</v>
      </c>
      <c r="X132" s="83"/>
      <c r="Y132" s="186">
        <f t="shared" si="377"/>
        <v>1</v>
      </c>
      <c r="Z132" s="190">
        <f t="shared" si="378"/>
        <v>0</v>
      </c>
      <c r="AA132" s="83"/>
      <c r="AB132" s="186">
        <f t="shared" si="379"/>
        <v>1</v>
      </c>
      <c r="AC132" s="190">
        <f t="shared" si="380"/>
        <v>0</v>
      </c>
      <c r="AD132" s="83"/>
      <c r="AE132" s="186">
        <f t="shared" si="381"/>
        <v>1</v>
      </c>
      <c r="AF132" s="190">
        <f t="shared" si="382"/>
        <v>0</v>
      </c>
      <c r="AG132" s="83"/>
      <c r="AH132" s="186">
        <f t="shared" si="383"/>
        <v>1</v>
      </c>
      <c r="AI132" s="190">
        <f t="shared" si="384"/>
        <v>0</v>
      </c>
      <c r="AJ132" s="83"/>
      <c r="AK132" s="186">
        <f t="shared" si="385"/>
        <v>1</v>
      </c>
      <c r="AL132" s="190">
        <f t="shared" si="386"/>
        <v>0</v>
      </c>
      <c r="AM132" s="181">
        <f t="shared" si="387"/>
        <v>0</v>
      </c>
      <c r="AN132" s="192">
        <f t="shared" si="388"/>
        <v>0</v>
      </c>
    </row>
    <row r="133" spans="2:40" outlineLevel="1" x14ac:dyDescent="0.25">
      <c r="B133" s="52" t="s">
        <v>286</v>
      </c>
      <c r="C133" s="64" t="s">
        <v>22</v>
      </c>
      <c r="D133" s="83">
        <v>0</v>
      </c>
      <c r="E133" s="83">
        <v>0</v>
      </c>
      <c r="F133" s="83">
        <v>0</v>
      </c>
      <c r="G133" s="187">
        <f t="shared" si="371"/>
        <v>0</v>
      </c>
      <c r="H133" s="191">
        <f t="shared" si="372"/>
        <v>0</v>
      </c>
      <c r="I133" s="83">
        <v>0</v>
      </c>
      <c r="J133" s="187">
        <f t="shared" si="2"/>
        <v>0</v>
      </c>
      <c r="K133" s="191">
        <f t="shared" si="3"/>
        <v>0</v>
      </c>
      <c r="L133" s="83">
        <v>0</v>
      </c>
      <c r="M133" s="187">
        <f t="shared" si="4"/>
        <v>0</v>
      </c>
      <c r="N133" s="191">
        <f t="shared" si="5"/>
        <v>0</v>
      </c>
      <c r="O133" s="85"/>
      <c r="P133" s="152"/>
      <c r="Q133" s="152"/>
      <c r="R133" s="85"/>
      <c r="S133" s="186">
        <f t="shared" si="373"/>
        <v>0</v>
      </c>
      <c r="T133" s="191">
        <f t="shared" si="374"/>
        <v>0</v>
      </c>
      <c r="U133" s="181">
        <f t="shared" si="375"/>
        <v>0</v>
      </c>
      <c r="V133" s="192">
        <f t="shared" si="376"/>
        <v>0</v>
      </c>
      <c r="X133" s="85"/>
      <c r="Y133" s="186">
        <f t="shared" si="377"/>
        <v>0</v>
      </c>
      <c r="Z133" s="191">
        <f t="shared" si="378"/>
        <v>0</v>
      </c>
      <c r="AA133" s="85"/>
      <c r="AB133" s="187">
        <f t="shared" si="379"/>
        <v>0</v>
      </c>
      <c r="AC133" s="191">
        <f t="shared" si="380"/>
        <v>0</v>
      </c>
      <c r="AD133" s="85"/>
      <c r="AE133" s="187">
        <f t="shared" si="381"/>
        <v>0</v>
      </c>
      <c r="AF133" s="191">
        <f t="shared" si="382"/>
        <v>0</v>
      </c>
      <c r="AG133" s="85"/>
      <c r="AH133" s="187">
        <f t="shared" si="383"/>
        <v>0</v>
      </c>
      <c r="AI133" s="191">
        <f t="shared" si="384"/>
        <v>0</v>
      </c>
      <c r="AJ133" s="85"/>
      <c r="AK133" s="187">
        <f t="shared" si="385"/>
        <v>0</v>
      </c>
      <c r="AL133" s="191">
        <f t="shared" si="386"/>
        <v>0</v>
      </c>
      <c r="AM133" s="181">
        <f t="shared" si="387"/>
        <v>0</v>
      </c>
      <c r="AN133" s="192">
        <f t="shared" si="388"/>
        <v>0</v>
      </c>
    </row>
    <row r="134" spans="2:40" outlineLevel="1" x14ac:dyDescent="0.25">
      <c r="B134" s="52" t="s">
        <v>287</v>
      </c>
      <c r="C134" s="64" t="s">
        <v>22</v>
      </c>
      <c r="D134" s="83">
        <v>0</v>
      </c>
      <c r="E134" s="83">
        <v>0</v>
      </c>
      <c r="F134" s="83">
        <v>0</v>
      </c>
      <c r="G134" s="187">
        <f t="shared" ref="G134" si="389">E134+F134</f>
        <v>0</v>
      </c>
      <c r="H134" s="191">
        <f t="shared" ref="H134" si="390">IFERROR((G134-E134)/E134,0)</f>
        <v>0</v>
      </c>
      <c r="I134" s="83">
        <v>0</v>
      </c>
      <c r="J134" s="187">
        <f t="shared" ref="J134" si="391">G134+I134</f>
        <v>0</v>
      </c>
      <c r="K134" s="191">
        <f t="shared" ref="K134" si="392">IFERROR((J134-G134)/G134,0)</f>
        <v>0</v>
      </c>
      <c r="L134" s="83">
        <v>0</v>
      </c>
      <c r="M134" s="187">
        <f t="shared" ref="M134" si="393">J134+L134</f>
        <v>0</v>
      </c>
      <c r="N134" s="191">
        <f t="shared" ref="N134" si="394">IFERROR((M134-J134)/J134,0)</f>
        <v>0</v>
      </c>
      <c r="O134" s="85"/>
      <c r="P134" s="152"/>
      <c r="Q134" s="152"/>
      <c r="R134" s="85"/>
      <c r="S134" s="186">
        <f t="shared" ref="S134" si="395">M134+R134</f>
        <v>0</v>
      </c>
      <c r="T134" s="191">
        <f t="shared" ref="T134" si="396">IFERROR((S134-M134)/M134,0)</f>
        <v>0</v>
      </c>
      <c r="U134" s="181">
        <f t="shared" ref="U134" si="397">D134+F134+I134+L134+R134</f>
        <v>0</v>
      </c>
      <c r="V134" s="192">
        <f t="shared" si="376"/>
        <v>0</v>
      </c>
      <c r="X134" s="85"/>
      <c r="Y134" s="186">
        <f t="shared" ref="Y134" si="398">S134+X134</f>
        <v>0</v>
      </c>
      <c r="Z134" s="191">
        <f t="shared" ref="Z134" si="399">IFERROR((Y134-S134)/S134,0)</f>
        <v>0</v>
      </c>
      <c r="AA134" s="85"/>
      <c r="AB134" s="187">
        <f t="shared" ref="AB134" si="400">Y134+AA134</f>
        <v>0</v>
      </c>
      <c r="AC134" s="191">
        <f t="shared" ref="AC134" si="401">IFERROR((AB134-Y134)/Y134,0)</f>
        <v>0</v>
      </c>
      <c r="AD134" s="85"/>
      <c r="AE134" s="187">
        <f t="shared" ref="AE134" si="402">AB134+AD134</f>
        <v>0</v>
      </c>
      <c r="AF134" s="191">
        <f t="shared" ref="AF134" si="403">IFERROR((AE134-AB134)/AB134,0)</f>
        <v>0</v>
      </c>
      <c r="AG134" s="85"/>
      <c r="AH134" s="187">
        <f t="shared" ref="AH134" si="404">AE134+AG134</f>
        <v>0</v>
      </c>
      <c r="AI134" s="191">
        <f t="shared" ref="AI134" si="405">IFERROR((AH134-AE134)/AE134,0)</f>
        <v>0</v>
      </c>
      <c r="AJ134" s="85"/>
      <c r="AK134" s="187">
        <f t="shared" ref="AK134" si="406">AH134+AJ134</f>
        <v>0</v>
      </c>
      <c r="AL134" s="191">
        <f t="shared" ref="AL134" si="407">IFERROR((AK134-AH134)/AH134,0)</f>
        <v>0</v>
      </c>
      <c r="AM134" s="181">
        <f t="shared" ref="AM134" si="408">X134+AA134+AD134+AG134+AJ134</f>
        <v>0</v>
      </c>
      <c r="AN134" s="192">
        <f t="shared" ref="AN134" si="409">IFERROR((AK134/Y134)^(1/4)-1,0)</f>
        <v>0</v>
      </c>
    </row>
    <row r="135" spans="2:40" outlineLevel="1" x14ac:dyDescent="0.25">
      <c r="B135" s="52" t="s">
        <v>288</v>
      </c>
      <c r="C135" s="64" t="s">
        <v>22</v>
      </c>
      <c r="D135" s="83">
        <v>0</v>
      </c>
      <c r="E135" s="83">
        <v>0</v>
      </c>
      <c r="F135" s="83">
        <v>0</v>
      </c>
      <c r="G135" s="187">
        <f t="shared" ref="G135" si="410">E135+F135</f>
        <v>0</v>
      </c>
      <c r="H135" s="191">
        <f t="shared" ref="H135" si="411">IFERROR((G135-E135)/E135,0)</f>
        <v>0</v>
      </c>
      <c r="I135" s="83">
        <v>0</v>
      </c>
      <c r="J135" s="187">
        <f t="shared" ref="J135" si="412">G135+I135</f>
        <v>0</v>
      </c>
      <c r="K135" s="191">
        <f t="shared" ref="K135" si="413">IFERROR((J135-G135)/G135,0)</f>
        <v>0</v>
      </c>
      <c r="L135" s="83">
        <v>0</v>
      </c>
      <c r="M135" s="187">
        <f t="shared" ref="M135" si="414">J135+L135</f>
        <v>0</v>
      </c>
      <c r="N135" s="191">
        <f t="shared" ref="N135" si="415">IFERROR((M135-J135)/J135,0)</f>
        <v>0</v>
      </c>
      <c r="O135" s="85"/>
      <c r="P135" s="152"/>
      <c r="Q135" s="152"/>
      <c r="R135" s="85"/>
      <c r="S135" s="186">
        <f t="shared" ref="S135" si="416">M135+R135</f>
        <v>0</v>
      </c>
      <c r="T135" s="191">
        <f t="shared" ref="T135" si="417">IFERROR((S135-M135)/M135,0)</f>
        <v>0</v>
      </c>
      <c r="U135" s="181">
        <f t="shared" ref="U135" si="418">D135+F135+I135+L135+R135</f>
        <v>0</v>
      </c>
      <c r="V135" s="192">
        <f t="shared" si="376"/>
        <v>0</v>
      </c>
      <c r="X135" s="85"/>
      <c r="Y135" s="186">
        <f t="shared" ref="Y135" si="419">S135+X135</f>
        <v>0</v>
      </c>
      <c r="Z135" s="191">
        <f t="shared" ref="Z135" si="420">IFERROR((Y135-S135)/S135,0)</f>
        <v>0</v>
      </c>
      <c r="AA135" s="85"/>
      <c r="AB135" s="187">
        <f t="shared" ref="AB135" si="421">Y135+AA135</f>
        <v>0</v>
      </c>
      <c r="AC135" s="191">
        <f t="shared" ref="AC135" si="422">IFERROR((AB135-Y135)/Y135,0)</f>
        <v>0</v>
      </c>
      <c r="AD135" s="85"/>
      <c r="AE135" s="187">
        <f t="shared" ref="AE135" si="423">AB135+AD135</f>
        <v>0</v>
      </c>
      <c r="AF135" s="191">
        <f t="shared" ref="AF135" si="424">IFERROR((AE135-AB135)/AB135,0)</f>
        <v>0</v>
      </c>
      <c r="AG135" s="85"/>
      <c r="AH135" s="187">
        <f t="shared" ref="AH135" si="425">AE135+AG135</f>
        <v>0</v>
      </c>
      <c r="AI135" s="191">
        <f t="shared" ref="AI135" si="426">IFERROR((AH135-AE135)/AE135,0)</f>
        <v>0</v>
      </c>
      <c r="AJ135" s="85"/>
      <c r="AK135" s="187">
        <f t="shared" ref="AK135" si="427">AH135+AJ135</f>
        <v>0</v>
      </c>
      <c r="AL135" s="191">
        <f t="shared" ref="AL135" si="428">IFERROR((AK135-AH135)/AH135,0)</f>
        <v>0</v>
      </c>
      <c r="AM135" s="181">
        <f t="shared" ref="AM135" si="429">X135+AA135+AD135+AG135+AJ135</f>
        <v>0</v>
      </c>
      <c r="AN135" s="192">
        <f t="shared" ref="AN135" si="430">IFERROR((AK135/Y135)^(1/4)-1,0)</f>
        <v>0</v>
      </c>
    </row>
    <row r="136" spans="2:40" outlineLevel="1" x14ac:dyDescent="0.25">
      <c r="B136" s="52" t="s">
        <v>289</v>
      </c>
      <c r="C136" s="64" t="s">
        <v>22</v>
      </c>
      <c r="D136" s="83">
        <v>0</v>
      </c>
      <c r="E136" s="83">
        <v>0</v>
      </c>
      <c r="F136" s="83">
        <v>0</v>
      </c>
      <c r="G136" s="187">
        <f t="shared" ref="G136" si="431">E136+F136</f>
        <v>0</v>
      </c>
      <c r="H136" s="191">
        <f t="shared" ref="H136" si="432">IFERROR((G136-E136)/E136,0)</f>
        <v>0</v>
      </c>
      <c r="I136" s="83">
        <v>0</v>
      </c>
      <c r="J136" s="187">
        <f t="shared" ref="J136" si="433">G136+I136</f>
        <v>0</v>
      </c>
      <c r="K136" s="191">
        <f t="shared" ref="K136" si="434">IFERROR((J136-G136)/G136,0)</f>
        <v>0</v>
      </c>
      <c r="L136" s="83">
        <v>0</v>
      </c>
      <c r="M136" s="187">
        <f t="shared" ref="M136" si="435">J136+L136</f>
        <v>0</v>
      </c>
      <c r="N136" s="191">
        <f t="shared" ref="N136" si="436">IFERROR((M136-J136)/J136,0)</f>
        <v>0</v>
      </c>
      <c r="O136" s="85"/>
      <c r="P136" s="152"/>
      <c r="Q136" s="152"/>
      <c r="R136" s="85"/>
      <c r="S136" s="186">
        <f t="shared" ref="S136" si="437">M136+R136</f>
        <v>0</v>
      </c>
      <c r="T136" s="191">
        <f t="shared" ref="T136" si="438">IFERROR((S136-M136)/M136,0)</f>
        <v>0</v>
      </c>
      <c r="U136" s="181">
        <f t="shared" ref="U136" si="439">D136+F136+I136+L136+R136</f>
        <v>0</v>
      </c>
      <c r="V136" s="192">
        <f t="shared" si="376"/>
        <v>0</v>
      </c>
      <c r="X136" s="85"/>
      <c r="Y136" s="186">
        <f t="shared" ref="Y136" si="440">S136+X136</f>
        <v>0</v>
      </c>
      <c r="Z136" s="191">
        <f t="shared" ref="Z136" si="441">IFERROR((Y136-S136)/S136,0)</f>
        <v>0</v>
      </c>
      <c r="AA136" s="85"/>
      <c r="AB136" s="187">
        <f t="shared" ref="AB136" si="442">Y136+AA136</f>
        <v>0</v>
      </c>
      <c r="AC136" s="191">
        <f t="shared" ref="AC136" si="443">IFERROR((AB136-Y136)/Y136,0)</f>
        <v>0</v>
      </c>
      <c r="AD136" s="85"/>
      <c r="AE136" s="187">
        <f t="shared" ref="AE136" si="444">AB136+AD136</f>
        <v>0</v>
      </c>
      <c r="AF136" s="191">
        <f t="shared" ref="AF136" si="445">IFERROR((AE136-AB136)/AB136,0)</f>
        <v>0</v>
      </c>
      <c r="AG136" s="85"/>
      <c r="AH136" s="187">
        <f t="shared" ref="AH136" si="446">AE136+AG136</f>
        <v>0</v>
      </c>
      <c r="AI136" s="191">
        <f t="shared" ref="AI136" si="447">IFERROR((AH136-AE136)/AE136,0)</f>
        <v>0</v>
      </c>
      <c r="AJ136" s="85"/>
      <c r="AK136" s="187">
        <f t="shared" ref="AK136" si="448">AH136+AJ136</f>
        <v>0</v>
      </c>
      <c r="AL136" s="191">
        <f t="shared" ref="AL136" si="449">IFERROR((AK136-AH136)/AH136,0)</f>
        <v>0</v>
      </c>
      <c r="AM136" s="181">
        <f t="shared" ref="AM136" si="450">X136+AA136+AD136+AG136+AJ136</f>
        <v>0</v>
      </c>
      <c r="AN136" s="192">
        <f t="shared" ref="AN136" si="451">IFERROR((AK136/Y136)^(1/4)-1,0)</f>
        <v>0</v>
      </c>
    </row>
    <row r="137" spans="2:40" outlineLevel="1" x14ac:dyDescent="0.25">
      <c r="B137" s="52" t="s">
        <v>290</v>
      </c>
      <c r="C137" s="64" t="s">
        <v>22</v>
      </c>
      <c r="D137" s="83">
        <v>0</v>
      </c>
      <c r="E137" s="83">
        <v>0</v>
      </c>
      <c r="F137" s="83">
        <v>0</v>
      </c>
      <c r="G137" s="187">
        <f t="shared" ref="G137" si="452">E137+F137</f>
        <v>0</v>
      </c>
      <c r="H137" s="191">
        <f t="shared" ref="H137" si="453">IFERROR((G137-E137)/E137,0)</f>
        <v>0</v>
      </c>
      <c r="I137" s="83">
        <v>0</v>
      </c>
      <c r="J137" s="187">
        <f t="shared" ref="J137" si="454">G137+I137</f>
        <v>0</v>
      </c>
      <c r="K137" s="191">
        <f t="shared" ref="K137" si="455">IFERROR((J137-G137)/G137,0)</f>
        <v>0</v>
      </c>
      <c r="L137" s="83">
        <v>0</v>
      </c>
      <c r="M137" s="187">
        <f t="shared" ref="M137" si="456">J137+L137</f>
        <v>0</v>
      </c>
      <c r="N137" s="191">
        <f t="shared" ref="N137" si="457">IFERROR((M137-J137)/J137,0)</f>
        <v>0</v>
      </c>
      <c r="O137" s="85"/>
      <c r="P137" s="152"/>
      <c r="Q137" s="152"/>
      <c r="R137" s="85"/>
      <c r="S137" s="186">
        <f t="shared" ref="S137" si="458">M137+R137</f>
        <v>0</v>
      </c>
      <c r="T137" s="191">
        <f t="shared" ref="T137" si="459">IFERROR((S137-M137)/M137,0)</f>
        <v>0</v>
      </c>
      <c r="U137" s="181">
        <f t="shared" ref="U137" si="460">D137+F137+I137+L137+R137</f>
        <v>0</v>
      </c>
      <c r="V137" s="192">
        <f t="shared" si="376"/>
        <v>0</v>
      </c>
      <c r="X137" s="85"/>
      <c r="Y137" s="186">
        <f t="shared" ref="Y137" si="461">S137+X137</f>
        <v>0</v>
      </c>
      <c r="Z137" s="191">
        <f t="shared" ref="Z137" si="462">IFERROR((Y137-S137)/S137,0)</f>
        <v>0</v>
      </c>
      <c r="AA137" s="85"/>
      <c r="AB137" s="187">
        <f t="shared" ref="AB137" si="463">Y137+AA137</f>
        <v>0</v>
      </c>
      <c r="AC137" s="191">
        <f t="shared" ref="AC137" si="464">IFERROR((AB137-Y137)/Y137,0)</f>
        <v>0</v>
      </c>
      <c r="AD137" s="85"/>
      <c r="AE137" s="187">
        <f t="shared" ref="AE137" si="465">AB137+AD137</f>
        <v>0</v>
      </c>
      <c r="AF137" s="191">
        <f t="shared" ref="AF137" si="466">IFERROR((AE137-AB137)/AB137,0)</f>
        <v>0</v>
      </c>
      <c r="AG137" s="85"/>
      <c r="AH137" s="187">
        <f t="shared" ref="AH137" si="467">AE137+AG137</f>
        <v>0</v>
      </c>
      <c r="AI137" s="191">
        <f t="shared" ref="AI137" si="468">IFERROR((AH137-AE137)/AE137,0)</f>
        <v>0</v>
      </c>
      <c r="AJ137" s="85"/>
      <c r="AK137" s="187">
        <f t="shared" ref="AK137" si="469">AH137+AJ137</f>
        <v>0</v>
      </c>
      <c r="AL137" s="191">
        <f t="shared" ref="AL137" si="470">IFERROR((AK137-AH137)/AH137,0)</f>
        <v>0</v>
      </c>
      <c r="AM137" s="181">
        <f t="shared" ref="AM137" si="471">X137+AA137+AD137+AG137+AJ137</f>
        <v>0</v>
      </c>
      <c r="AN137" s="192">
        <f t="shared" ref="AN137" si="472">IFERROR((AK137/Y137)^(1/4)-1,0)</f>
        <v>0</v>
      </c>
    </row>
    <row r="138" spans="2:40" outlineLevel="1" x14ac:dyDescent="0.25">
      <c r="B138" s="52" t="s">
        <v>291</v>
      </c>
      <c r="C138" s="64" t="s">
        <v>22</v>
      </c>
      <c r="D138" s="83">
        <v>0</v>
      </c>
      <c r="E138" s="83">
        <v>0</v>
      </c>
      <c r="F138" s="83">
        <v>0</v>
      </c>
      <c r="G138" s="187">
        <f t="shared" ref="G138" si="473">E138+F138</f>
        <v>0</v>
      </c>
      <c r="H138" s="191">
        <f t="shared" ref="H138:H143" si="474">IFERROR((G138-E138)/E138,0)</f>
        <v>0</v>
      </c>
      <c r="I138" s="83">
        <v>0</v>
      </c>
      <c r="J138" s="187">
        <f t="shared" ref="J138" si="475">G138+I138</f>
        <v>0</v>
      </c>
      <c r="K138" s="191">
        <f t="shared" ref="K138:K143" si="476">IFERROR((J138-G138)/G138,0)</f>
        <v>0</v>
      </c>
      <c r="L138" s="83">
        <v>0</v>
      </c>
      <c r="M138" s="187">
        <f t="shared" ref="M138" si="477">J138+L138</f>
        <v>0</v>
      </c>
      <c r="N138" s="191">
        <f t="shared" ref="N138:N143" si="478">IFERROR((M138-J138)/J138,0)</f>
        <v>0</v>
      </c>
      <c r="O138" s="85"/>
      <c r="P138" s="152"/>
      <c r="Q138" s="152"/>
      <c r="R138" s="85"/>
      <c r="S138" s="186">
        <f t="shared" ref="S138:S143" si="479">M138+R138</f>
        <v>0</v>
      </c>
      <c r="T138" s="191">
        <f t="shared" ref="T138:T143" si="480">IFERROR((S138-M138)/M138,0)</f>
        <v>0</v>
      </c>
      <c r="U138" s="181">
        <f t="shared" ref="U138:U143" si="481">D138+F138+I138+L138+R138</f>
        <v>0</v>
      </c>
      <c r="V138" s="192">
        <f t="shared" si="376"/>
        <v>0</v>
      </c>
      <c r="X138" s="85"/>
      <c r="Y138" s="186">
        <f t="shared" ref="Y138" si="482">S138+X138</f>
        <v>0</v>
      </c>
      <c r="Z138" s="191">
        <f t="shared" ref="Z138:Z143" si="483">IFERROR((Y138-S138)/S138,0)</f>
        <v>0</v>
      </c>
      <c r="AA138" s="85"/>
      <c r="AB138" s="187">
        <f t="shared" ref="AB138" si="484">Y138+AA138</f>
        <v>0</v>
      </c>
      <c r="AC138" s="191">
        <f t="shared" ref="AC138:AC143" si="485">IFERROR((AB138-Y138)/Y138,0)</f>
        <v>0</v>
      </c>
      <c r="AD138" s="85"/>
      <c r="AE138" s="187">
        <f t="shared" ref="AE138" si="486">AB138+AD138</f>
        <v>0</v>
      </c>
      <c r="AF138" s="191">
        <f t="shared" ref="AF138:AF143" si="487">IFERROR((AE138-AB138)/AB138,0)</f>
        <v>0</v>
      </c>
      <c r="AG138" s="85"/>
      <c r="AH138" s="187">
        <f t="shared" ref="AH138" si="488">AE138+AG138</f>
        <v>0</v>
      </c>
      <c r="AI138" s="191">
        <f t="shared" ref="AI138:AI143" si="489">IFERROR((AH138-AE138)/AE138,0)</f>
        <v>0</v>
      </c>
      <c r="AJ138" s="85"/>
      <c r="AK138" s="187">
        <f t="shared" ref="AK138" si="490">AH138+AJ138</f>
        <v>0</v>
      </c>
      <c r="AL138" s="191">
        <f t="shared" ref="AL138:AL143" si="491">IFERROR((AK138-AH138)/AH138,0)</f>
        <v>0</v>
      </c>
      <c r="AM138" s="181">
        <f t="shared" ref="AM138:AM143" si="492">X138+AA138+AD138+AG138+AJ138</f>
        <v>0</v>
      </c>
      <c r="AN138" s="192">
        <f t="shared" ref="AN138:AN143" si="493">IFERROR((AK138/Y138)^(1/4)-1,0)</f>
        <v>0</v>
      </c>
    </row>
    <row r="139" spans="2:40" outlineLevel="1" x14ac:dyDescent="0.25">
      <c r="B139" s="52" t="s">
        <v>307</v>
      </c>
      <c r="C139" s="64" t="s">
        <v>22</v>
      </c>
      <c r="D139" s="83"/>
      <c r="E139" s="83"/>
      <c r="F139" s="83"/>
      <c r="G139" s="187"/>
      <c r="H139" s="191">
        <f t="shared" si="474"/>
        <v>0</v>
      </c>
      <c r="I139" s="83"/>
      <c r="J139" s="187"/>
      <c r="K139" s="191">
        <f t="shared" si="476"/>
        <v>0</v>
      </c>
      <c r="L139" s="83"/>
      <c r="M139" s="187"/>
      <c r="N139" s="191">
        <f t="shared" si="478"/>
        <v>0</v>
      </c>
      <c r="O139" s="85"/>
      <c r="P139" s="152"/>
      <c r="Q139" s="152"/>
      <c r="R139" s="85"/>
      <c r="S139" s="186">
        <f t="shared" si="479"/>
        <v>0</v>
      </c>
      <c r="T139" s="191">
        <f t="shared" si="480"/>
        <v>0</v>
      </c>
      <c r="U139" s="181">
        <f t="shared" si="481"/>
        <v>0</v>
      </c>
      <c r="V139" s="192">
        <f t="shared" si="376"/>
        <v>0</v>
      </c>
      <c r="X139" s="85">
        <v>1</v>
      </c>
      <c r="Y139" s="186"/>
      <c r="Z139" s="191">
        <f t="shared" si="483"/>
        <v>0</v>
      </c>
      <c r="AA139" s="85"/>
      <c r="AB139" s="187"/>
      <c r="AC139" s="191">
        <f t="shared" si="485"/>
        <v>0</v>
      </c>
      <c r="AD139" s="85"/>
      <c r="AE139" s="187"/>
      <c r="AF139" s="191">
        <f t="shared" si="487"/>
        <v>0</v>
      </c>
      <c r="AG139" s="85"/>
      <c r="AH139" s="187"/>
      <c r="AI139" s="191">
        <f t="shared" si="489"/>
        <v>0</v>
      </c>
      <c r="AJ139" s="85"/>
      <c r="AK139" s="187"/>
      <c r="AL139" s="191">
        <f t="shared" si="491"/>
        <v>0</v>
      </c>
      <c r="AM139" s="181">
        <f t="shared" si="492"/>
        <v>1</v>
      </c>
      <c r="AN139" s="192">
        <f t="shared" si="493"/>
        <v>0</v>
      </c>
    </row>
    <row r="140" spans="2:40" outlineLevel="1" x14ac:dyDescent="0.25">
      <c r="B140" s="52" t="s">
        <v>304</v>
      </c>
      <c r="C140" s="64" t="s">
        <v>22</v>
      </c>
      <c r="D140" s="83"/>
      <c r="E140" s="83"/>
      <c r="F140" s="83"/>
      <c r="G140" s="187"/>
      <c r="H140" s="191">
        <f t="shared" si="474"/>
        <v>0</v>
      </c>
      <c r="I140" s="83"/>
      <c r="J140" s="187"/>
      <c r="K140" s="191">
        <f t="shared" si="476"/>
        <v>0</v>
      </c>
      <c r="L140" s="83"/>
      <c r="M140" s="187"/>
      <c r="N140" s="191">
        <f t="shared" si="478"/>
        <v>0</v>
      </c>
      <c r="O140" s="85"/>
      <c r="P140" s="152"/>
      <c r="Q140" s="152"/>
      <c r="R140" s="85"/>
      <c r="S140" s="186">
        <f t="shared" si="479"/>
        <v>0</v>
      </c>
      <c r="T140" s="191">
        <f t="shared" si="480"/>
        <v>0</v>
      </c>
      <c r="U140" s="181">
        <f t="shared" si="481"/>
        <v>0</v>
      </c>
      <c r="V140" s="192">
        <f t="shared" si="376"/>
        <v>0</v>
      </c>
      <c r="X140" s="85">
        <v>2</v>
      </c>
      <c r="Y140" s="186"/>
      <c r="Z140" s="191">
        <f t="shared" si="483"/>
        <v>0</v>
      </c>
      <c r="AA140" s="85"/>
      <c r="AB140" s="187"/>
      <c r="AC140" s="191">
        <f t="shared" si="485"/>
        <v>0</v>
      </c>
      <c r="AD140" s="85"/>
      <c r="AE140" s="187"/>
      <c r="AF140" s="191">
        <f t="shared" si="487"/>
        <v>0</v>
      </c>
      <c r="AG140" s="85"/>
      <c r="AH140" s="187"/>
      <c r="AI140" s="191">
        <f t="shared" si="489"/>
        <v>0</v>
      </c>
      <c r="AJ140" s="85"/>
      <c r="AK140" s="187"/>
      <c r="AL140" s="191">
        <f t="shared" si="491"/>
        <v>0</v>
      </c>
      <c r="AM140" s="181">
        <f t="shared" si="492"/>
        <v>2</v>
      </c>
      <c r="AN140" s="192">
        <f t="shared" si="493"/>
        <v>0</v>
      </c>
    </row>
    <row r="141" spans="2:40" outlineLevel="1" x14ac:dyDescent="0.25">
      <c r="B141" s="52" t="s">
        <v>305</v>
      </c>
      <c r="C141" s="64" t="s">
        <v>22</v>
      </c>
      <c r="D141" s="83"/>
      <c r="E141" s="83"/>
      <c r="F141" s="83"/>
      <c r="G141" s="187"/>
      <c r="H141" s="191">
        <f t="shared" si="474"/>
        <v>0</v>
      </c>
      <c r="I141" s="83"/>
      <c r="J141" s="187"/>
      <c r="K141" s="191">
        <f t="shared" si="476"/>
        <v>0</v>
      </c>
      <c r="L141" s="83"/>
      <c r="M141" s="187"/>
      <c r="N141" s="191">
        <f t="shared" si="478"/>
        <v>0</v>
      </c>
      <c r="O141" s="85"/>
      <c r="P141" s="152"/>
      <c r="Q141" s="152"/>
      <c r="R141" s="85"/>
      <c r="S141" s="186">
        <f t="shared" si="479"/>
        <v>0</v>
      </c>
      <c r="T141" s="191">
        <f t="shared" si="480"/>
        <v>0</v>
      </c>
      <c r="U141" s="181">
        <f t="shared" si="481"/>
        <v>0</v>
      </c>
      <c r="V141" s="192">
        <f t="shared" si="376"/>
        <v>0</v>
      </c>
      <c r="X141" s="85">
        <v>2</v>
      </c>
      <c r="Y141" s="186"/>
      <c r="Z141" s="191">
        <f t="shared" si="483"/>
        <v>0</v>
      </c>
      <c r="AA141" s="85"/>
      <c r="AB141" s="187"/>
      <c r="AC141" s="191">
        <f t="shared" si="485"/>
        <v>0</v>
      </c>
      <c r="AD141" s="85"/>
      <c r="AE141" s="187"/>
      <c r="AF141" s="191">
        <f t="shared" si="487"/>
        <v>0</v>
      </c>
      <c r="AG141" s="85"/>
      <c r="AH141" s="187"/>
      <c r="AI141" s="191">
        <f t="shared" si="489"/>
        <v>0</v>
      </c>
      <c r="AJ141" s="85"/>
      <c r="AK141" s="187"/>
      <c r="AL141" s="191">
        <f t="shared" si="491"/>
        <v>0</v>
      </c>
      <c r="AM141" s="181">
        <f t="shared" si="492"/>
        <v>2</v>
      </c>
      <c r="AN141" s="192">
        <f t="shared" si="493"/>
        <v>0</v>
      </c>
    </row>
    <row r="142" spans="2:40" outlineLevel="1" x14ac:dyDescent="0.25">
      <c r="B142" s="52" t="s">
        <v>306</v>
      </c>
      <c r="C142" s="64" t="s">
        <v>22</v>
      </c>
      <c r="D142" s="83"/>
      <c r="E142" s="83"/>
      <c r="F142" s="83"/>
      <c r="G142" s="187"/>
      <c r="H142" s="191">
        <f t="shared" si="474"/>
        <v>0</v>
      </c>
      <c r="I142" s="83"/>
      <c r="J142" s="187"/>
      <c r="K142" s="191">
        <f t="shared" si="476"/>
        <v>0</v>
      </c>
      <c r="L142" s="83"/>
      <c r="M142" s="187"/>
      <c r="N142" s="191">
        <f t="shared" si="478"/>
        <v>0</v>
      </c>
      <c r="O142" s="85"/>
      <c r="P142" s="152"/>
      <c r="Q142" s="152"/>
      <c r="R142" s="85"/>
      <c r="S142" s="186">
        <f t="shared" si="479"/>
        <v>0</v>
      </c>
      <c r="T142" s="191">
        <f t="shared" si="480"/>
        <v>0</v>
      </c>
      <c r="U142" s="181">
        <f t="shared" si="481"/>
        <v>0</v>
      </c>
      <c r="V142" s="192">
        <f t="shared" si="376"/>
        <v>0</v>
      </c>
      <c r="X142" s="85">
        <v>1</v>
      </c>
      <c r="Y142" s="186"/>
      <c r="Z142" s="191">
        <f t="shared" si="483"/>
        <v>0</v>
      </c>
      <c r="AA142" s="85"/>
      <c r="AB142" s="187"/>
      <c r="AC142" s="191">
        <f t="shared" si="485"/>
        <v>0</v>
      </c>
      <c r="AD142" s="85"/>
      <c r="AE142" s="187"/>
      <c r="AF142" s="191">
        <f t="shared" si="487"/>
        <v>0</v>
      </c>
      <c r="AG142" s="85"/>
      <c r="AH142" s="187"/>
      <c r="AI142" s="191">
        <f t="shared" si="489"/>
        <v>0</v>
      </c>
      <c r="AJ142" s="85"/>
      <c r="AK142" s="187"/>
      <c r="AL142" s="191">
        <f t="shared" si="491"/>
        <v>0</v>
      </c>
      <c r="AM142" s="181">
        <f t="shared" si="492"/>
        <v>1</v>
      </c>
      <c r="AN142" s="192">
        <f t="shared" si="493"/>
        <v>0</v>
      </c>
    </row>
    <row r="143" spans="2:40" outlineLevel="1" x14ac:dyDescent="0.25">
      <c r="B143" s="52" t="s">
        <v>308</v>
      </c>
      <c r="C143" s="64" t="s">
        <v>22</v>
      </c>
      <c r="D143" s="83"/>
      <c r="E143" s="83"/>
      <c r="F143" s="83"/>
      <c r="G143" s="187"/>
      <c r="H143" s="191">
        <f t="shared" si="474"/>
        <v>0</v>
      </c>
      <c r="I143" s="83"/>
      <c r="J143" s="187"/>
      <c r="K143" s="191">
        <f t="shared" si="476"/>
        <v>0</v>
      </c>
      <c r="L143" s="83"/>
      <c r="M143" s="187"/>
      <c r="N143" s="191">
        <f t="shared" si="478"/>
        <v>0</v>
      </c>
      <c r="O143" s="85"/>
      <c r="P143" s="152"/>
      <c r="Q143" s="152"/>
      <c r="R143" s="85"/>
      <c r="S143" s="186">
        <f t="shared" si="479"/>
        <v>0</v>
      </c>
      <c r="T143" s="191">
        <f t="shared" si="480"/>
        <v>0</v>
      </c>
      <c r="U143" s="181">
        <f t="shared" si="481"/>
        <v>0</v>
      </c>
      <c r="V143" s="192">
        <f t="shared" si="376"/>
        <v>0</v>
      </c>
      <c r="X143" s="85">
        <v>1</v>
      </c>
      <c r="Y143" s="186"/>
      <c r="Z143" s="191">
        <f t="shared" si="483"/>
        <v>0</v>
      </c>
      <c r="AA143" s="85"/>
      <c r="AB143" s="187"/>
      <c r="AC143" s="191">
        <f t="shared" si="485"/>
        <v>0</v>
      </c>
      <c r="AD143" s="85"/>
      <c r="AE143" s="187"/>
      <c r="AF143" s="191">
        <f t="shared" si="487"/>
        <v>0</v>
      </c>
      <c r="AG143" s="85"/>
      <c r="AH143" s="187"/>
      <c r="AI143" s="191">
        <f t="shared" si="489"/>
        <v>0</v>
      </c>
      <c r="AJ143" s="85"/>
      <c r="AK143" s="187"/>
      <c r="AL143" s="191">
        <f t="shared" si="491"/>
        <v>0</v>
      </c>
      <c r="AM143" s="181">
        <f t="shared" si="492"/>
        <v>1</v>
      </c>
      <c r="AN143" s="192">
        <f t="shared" si="493"/>
        <v>0</v>
      </c>
    </row>
    <row r="144" spans="2:40" outlineLevel="1" x14ac:dyDescent="0.25">
      <c r="B144" s="52"/>
      <c r="C144" s="64"/>
      <c r="D144" s="83"/>
      <c r="E144" s="83"/>
      <c r="F144" s="83"/>
      <c r="G144" s="187"/>
      <c r="H144" s="191"/>
      <c r="I144" s="83"/>
      <c r="J144" s="187"/>
      <c r="K144" s="191"/>
      <c r="L144" s="83"/>
      <c r="M144" s="187"/>
      <c r="N144" s="191"/>
      <c r="O144" s="85"/>
      <c r="P144" s="152"/>
      <c r="Q144" s="152"/>
      <c r="R144" s="85"/>
      <c r="S144" s="186"/>
      <c r="T144" s="191"/>
      <c r="U144" s="181"/>
      <c r="V144" s="192"/>
      <c r="X144" s="85"/>
      <c r="Y144" s="186"/>
      <c r="Z144" s="191"/>
      <c r="AA144" s="85"/>
      <c r="AB144" s="187"/>
      <c r="AC144" s="191"/>
      <c r="AD144" s="85"/>
      <c r="AE144" s="187"/>
      <c r="AF144" s="191"/>
      <c r="AG144" s="85"/>
      <c r="AH144" s="187"/>
      <c r="AI144" s="191"/>
      <c r="AJ144" s="85"/>
      <c r="AK144" s="187"/>
      <c r="AL144" s="191"/>
      <c r="AM144" s="181"/>
      <c r="AN144" s="192"/>
    </row>
    <row r="145" spans="2:40" outlineLevel="1" x14ac:dyDescent="0.25">
      <c r="B145" s="349" t="s">
        <v>90</v>
      </c>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1"/>
    </row>
    <row r="146" spans="2:40" outlineLevel="1" x14ac:dyDescent="0.25">
      <c r="B146" s="52" t="s">
        <v>82</v>
      </c>
      <c r="C146" s="49" t="s">
        <v>22</v>
      </c>
      <c r="D146" s="188">
        <f>SUM(D130:D144)</f>
        <v>0</v>
      </c>
      <c r="E146" s="189">
        <f>SUM(E130:E144)</f>
        <v>0</v>
      </c>
      <c r="F146" s="188">
        <f>SUM(F130:F144)</f>
        <v>0</v>
      </c>
      <c r="G146" s="187">
        <f>SUM(G130:G144)</f>
        <v>0</v>
      </c>
      <c r="H146" s="191">
        <f>IFERROR((G146-E146)/E146,0)</f>
        <v>0</v>
      </c>
      <c r="I146" s="188">
        <f>SUM(I130:I144)</f>
        <v>0</v>
      </c>
      <c r="J146" s="187">
        <f>SUM(J130:J144)</f>
        <v>0</v>
      </c>
      <c r="K146" s="191">
        <f t="shared" si="3"/>
        <v>0</v>
      </c>
      <c r="L146" s="188">
        <f>SUM(L130:L144)</f>
        <v>1</v>
      </c>
      <c r="M146" s="187">
        <f>SUM(M130:M144)</f>
        <v>1</v>
      </c>
      <c r="N146" s="191">
        <f t="shared" si="5"/>
        <v>0</v>
      </c>
      <c r="O146" s="188">
        <f>SUM(O130:O144)</f>
        <v>0</v>
      </c>
      <c r="P146" s="152"/>
      <c r="Q146" s="152"/>
      <c r="R146" s="188">
        <f>SUM(R130:R144)</f>
        <v>2</v>
      </c>
      <c r="S146" s="187">
        <f>M146+R146</f>
        <v>3</v>
      </c>
      <c r="T146" s="191">
        <f>IFERROR((S146-M146)/M146,0)</f>
        <v>2</v>
      </c>
      <c r="U146" s="181">
        <f>D146+F146+I146+L146+R146</f>
        <v>3</v>
      </c>
      <c r="V146" s="192">
        <f>IFERROR((S146/E146)^(1/4)-1,0)</f>
        <v>0</v>
      </c>
      <c r="X146" s="188">
        <f>SUM(X130:X144)</f>
        <v>7</v>
      </c>
      <c r="Y146" s="187">
        <f>SUM(Y130:Y144)</f>
        <v>3</v>
      </c>
      <c r="Z146" s="191">
        <f>IFERROR((Y146-S146)/S146,0)</f>
        <v>0</v>
      </c>
      <c r="AA146" s="188">
        <f>SUM(AA130:AA144)</f>
        <v>0</v>
      </c>
      <c r="AB146" s="187">
        <f>SUM(AB130:AB144)</f>
        <v>3</v>
      </c>
      <c r="AC146" s="191">
        <f t="shared" ref="AC146" si="494">IFERROR((AB146-Y146)/Y146,0)</f>
        <v>0</v>
      </c>
      <c r="AD146" s="188">
        <f>SUM(AD130:AD144)</f>
        <v>0</v>
      </c>
      <c r="AE146" s="187">
        <f>SUM(AE130:AE144)</f>
        <v>3</v>
      </c>
      <c r="AF146" s="191">
        <f t="shared" ref="AF146" si="495">IFERROR((AE146-AB146)/AB146,0)</f>
        <v>0</v>
      </c>
      <c r="AG146" s="188">
        <f>SUM(AG130:AG144)</f>
        <v>0</v>
      </c>
      <c r="AH146" s="187">
        <f>SUM(AH130:AH144)</f>
        <v>3</v>
      </c>
      <c r="AI146" s="191">
        <f t="shared" ref="AI146" si="496">IFERROR((AH146-AE146)/AE146,0)</f>
        <v>0</v>
      </c>
      <c r="AJ146" s="188">
        <f>SUM(AJ130:AJ144)</f>
        <v>0</v>
      </c>
      <c r="AK146" s="187">
        <f>SUM(AK130:AK144)</f>
        <v>3</v>
      </c>
      <c r="AL146" s="191">
        <f t="shared" ref="AL146" si="497">IFERROR((AK146-AH146)/AH146,0)</f>
        <v>0</v>
      </c>
      <c r="AM146" s="187">
        <f>SUM(AM130:AM144)</f>
        <v>7</v>
      </c>
      <c r="AN146" s="192">
        <f t="shared" si="388"/>
        <v>0</v>
      </c>
    </row>
    <row r="148" spans="2:40" ht="17.25" customHeight="1" x14ac:dyDescent="0.25">
      <c r="B148" s="352" t="s">
        <v>97</v>
      </c>
      <c r="C148" s="35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67"/>
    </row>
    <row r="149" spans="2:40" ht="5.45" customHeight="1" outlineLevel="1" x14ac:dyDescent="0.2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row>
    <row r="150" spans="2:40" ht="15" customHeight="1" outlineLevel="1" x14ac:dyDescent="0.25">
      <c r="B150" s="368"/>
      <c r="C150" s="369" t="s">
        <v>20</v>
      </c>
      <c r="D150" s="372" t="s">
        <v>262</v>
      </c>
      <c r="E150" s="373"/>
      <c r="F150" s="373"/>
      <c r="G150" s="373"/>
      <c r="H150" s="373"/>
      <c r="I150" s="373"/>
      <c r="J150" s="373"/>
      <c r="K150" s="373"/>
      <c r="L150" s="373"/>
      <c r="M150" s="373"/>
      <c r="N150" s="373"/>
      <c r="O150" s="373"/>
      <c r="P150" s="373"/>
      <c r="Q150" s="374"/>
      <c r="R150" s="372" t="s">
        <v>260</v>
      </c>
      <c r="S150" s="373"/>
      <c r="T150" s="374"/>
      <c r="U150" s="388" t="str">
        <f xml:space="preserve"> D151&amp;" - "&amp;R151</f>
        <v>2018 - 2022</v>
      </c>
      <c r="V150" s="389"/>
      <c r="X150" s="372" t="s">
        <v>261</v>
      </c>
      <c r="Y150" s="373"/>
      <c r="Z150" s="373"/>
      <c r="AA150" s="373"/>
      <c r="AB150" s="373"/>
      <c r="AC150" s="373"/>
      <c r="AD150" s="373"/>
      <c r="AE150" s="373"/>
      <c r="AF150" s="373"/>
      <c r="AG150" s="373"/>
      <c r="AH150" s="373"/>
      <c r="AI150" s="373"/>
      <c r="AJ150" s="373"/>
      <c r="AK150" s="373"/>
      <c r="AL150" s="373"/>
      <c r="AM150" s="373"/>
      <c r="AN150" s="375"/>
    </row>
    <row r="151" spans="2:40" ht="15" customHeight="1" outlineLevel="1" x14ac:dyDescent="0.25">
      <c r="B151" s="368"/>
      <c r="C151" s="370"/>
      <c r="D151" s="372">
        <f>$C$3-5</f>
        <v>2018</v>
      </c>
      <c r="E151" s="374"/>
      <c r="F151" s="372">
        <f>$C$3-4</f>
        <v>2019</v>
      </c>
      <c r="G151" s="373"/>
      <c r="H151" s="374"/>
      <c r="I151" s="372">
        <f>$C$3-3</f>
        <v>2020</v>
      </c>
      <c r="J151" s="373"/>
      <c r="K151" s="374"/>
      <c r="L151" s="372">
        <f>$C$3-2</f>
        <v>2021</v>
      </c>
      <c r="M151" s="373"/>
      <c r="N151" s="374"/>
      <c r="O151" s="372" t="str">
        <f>$C$3-1&amp;""&amp;" ("&amp;"Σεπτ"&amp;")"</f>
        <v>2022 (Σεπτ)</v>
      </c>
      <c r="P151" s="373"/>
      <c r="Q151" s="374"/>
      <c r="R151" s="372">
        <f>$C$3-1</f>
        <v>2022</v>
      </c>
      <c r="S151" s="373"/>
      <c r="T151" s="374"/>
      <c r="U151" s="390"/>
      <c r="V151" s="391"/>
      <c r="X151" s="372">
        <f>$C$3</f>
        <v>2023</v>
      </c>
      <c r="Y151" s="373"/>
      <c r="Z151" s="374"/>
      <c r="AA151" s="372">
        <f>$C$3+1</f>
        <v>2024</v>
      </c>
      <c r="AB151" s="373"/>
      <c r="AC151" s="374"/>
      <c r="AD151" s="372">
        <f>$C$3+2</f>
        <v>2025</v>
      </c>
      <c r="AE151" s="373"/>
      <c r="AF151" s="374"/>
      <c r="AG151" s="372">
        <f>$C$3+3</f>
        <v>2026</v>
      </c>
      <c r="AH151" s="373"/>
      <c r="AI151" s="374"/>
      <c r="AJ151" s="372">
        <f>$C$3+4</f>
        <v>2027</v>
      </c>
      <c r="AK151" s="373"/>
      <c r="AL151" s="374"/>
      <c r="AM151" s="376" t="str">
        <f>X151&amp;" - "&amp;AJ151</f>
        <v>2023 - 2027</v>
      </c>
      <c r="AN151" s="377"/>
    </row>
    <row r="152" spans="2:40" ht="30" outlineLevel="1" x14ac:dyDescent="0.25">
      <c r="B152" s="368"/>
      <c r="C152" s="371"/>
      <c r="D152" s="67" t="s">
        <v>6</v>
      </c>
      <c r="E152" s="68" t="s">
        <v>7</v>
      </c>
      <c r="F152" s="67" t="s">
        <v>6</v>
      </c>
      <c r="G152" s="9" t="s">
        <v>7</v>
      </c>
      <c r="H152" s="68" t="s">
        <v>81</v>
      </c>
      <c r="I152" s="67" t="s">
        <v>6</v>
      </c>
      <c r="J152" s="9" t="s">
        <v>7</v>
      </c>
      <c r="K152" s="68" t="s">
        <v>81</v>
      </c>
      <c r="L152" s="67" t="s">
        <v>6</v>
      </c>
      <c r="M152" s="9" t="s">
        <v>7</v>
      </c>
      <c r="N152" s="68" t="s">
        <v>81</v>
      </c>
      <c r="O152" s="67" t="s">
        <v>6</v>
      </c>
      <c r="P152" s="9" t="s">
        <v>7</v>
      </c>
      <c r="Q152" s="68" t="s">
        <v>81</v>
      </c>
      <c r="R152" s="67" t="s">
        <v>4</v>
      </c>
      <c r="S152" s="9" t="s">
        <v>5</v>
      </c>
      <c r="T152" s="68" t="s">
        <v>81</v>
      </c>
      <c r="U152" s="9" t="s">
        <v>17</v>
      </c>
      <c r="V152" s="60" t="s">
        <v>83</v>
      </c>
      <c r="X152" s="67" t="s">
        <v>6</v>
      </c>
      <c r="Y152" s="9" t="s">
        <v>7</v>
      </c>
      <c r="Z152" s="68" t="s">
        <v>81</v>
      </c>
      <c r="AA152" s="67" t="s">
        <v>6</v>
      </c>
      <c r="AB152" s="9" t="s">
        <v>7</v>
      </c>
      <c r="AC152" s="68" t="s">
        <v>81</v>
      </c>
      <c r="AD152" s="67" t="s">
        <v>6</v>
      </c>
      <c r="AE152" s="9" t="s">
        <v>7</v>
      </c>
      <c r="AF152" s="68" t="s">
        <v>81</v>
      </c>
      <c r="AG152" s="67" t="s">
        <v>6</v>
      </c>
      <c r="AH152" s="9" t="s">
        <v>7</v>
      </c>
      <c r="AI152" s="68" t="s">
        <v>81</v>
      </c>
      <c r="AJ152" s="67" t="s">
        <v>6</v>
      </c>
      <c r="AK152" s="9" t="s">
        <v>7</v>
      </c>
      <c r="AL152" s="68" t="s">
        <v>81</v>
      </c>
      <c r="AM152" s="9" t="s">
        <v>17</v>
      </c>
      <c r="AN152" s="60" t="s">
        <v>83</v>
      </c>
    </row>
    <row r="153" spans="2:40" outlineLevel="1" x14ac:dyDescent="0.25">
      <c r="B153" s="52" t="s">
        <v>283</v>
      </c>
      <c r="C153" s="64" t="s">
        <v>22</v>
      </c>
      <c r="D153" s="83">
        <v>0</v>
      </c>
      <c r="E153" s="83">
        <v>0</v>
      </c>
      <c r="F153" s="83">
        <v>0</v>
      </c>
      <c r="G153" s="186">
        <f t="shared" ref="G153:G156" si="498">E153+F153</f>
        <v>0</v>
      </c>
      <c r="H153" s="190">
        <f t="shared" ref="H153:H156" si="499">IFERROR((G153-E153)/E153,0)</f>
        <v>0</v>
      </c>
      <c r="I153" s="83">
        <v>0</v>
      </c>
      <c r="J153" s="186">
        <f t="shared" ref="J153:J156" si="500">G153+I153</f>
        <v>0</v>
      </c>
      <c r="K153" s="190">
        <f t="shared" ref="K153:K169" si="501">IFERROR((J153-G153)/G153,0)</f>
        <v>0</v>
      </c>
      <c r="L153" s="83">
        <v>0</v>
      </c>
      <c r="M153" s="186">
        <f t="shared" ref="M153:M156" si="502">J153+L153</f>
        <v>0</v>
      </c>
      <c r="N153" s="190">
        <f t="shared" ref="N153:N169" si="503">IFERROR((M153-J153)/J153,0)</f>
        <v>0</v>
      </c>
      <c r="O153" s="83"/>
      <c r="P153" s="150"/>
      <c r="Q153" s="152"/>
      <c r="R153" s="83"/>
      <c r="S153" s="186">
        <f t="shared" ref="S153:S156" si="504">M153+R153</f>
        <v>0</v>
      </c>
      <c r="T153" s="190">
        <f t="shared" ref="T153:T156" si="505">IFERROR((S153-M153)/M153,0)</f>
        <v>0</v>
      </c>
      <c r="U153" s="181">
        <f t="shared" ref="U153:U156" si="506">D153+F153+I153+L153+R153</f>
        <v>0</v>
      </c>
      <c r="V153" s="192">
        <f t="shared" ref="V153:V167" si="507">IFERROR((S153/E153)^(1/4)-1,0)</f>
        <v>0</v>
      </c>
      <c r="X153" s="83"/>
      <c r="Y153" s="186">
        <f t="shared" ref="Y153:Y156" si="508">S153+X153</f>
        <v>0</v>
      </c>
      <c r="Z153" s="190">
        <f t="shared" ref="Z153:Z156" si="509">IFERROR((Y153-S153)/S153,0)</f>
        <v>0</v>
      </c>
      <c r="AA153" s="83"/>
      <c r="AB153" s="186">
        <f t="shared" ref="AB153:AB156" si="510">Y153+AA153</f>
        <v>0</v>
      </c>
      <c r="AC153" s="190">
        <f t="shared" ref="AC153:AC156" si="511">IFERROR((AB153-Y153)/Y153,0)</f>
        <v>0</v>
      </c>
      <c r="AD153" s="83"/>
      <c r="AE153" s="186">
        <f t="shared" ref="AE153:AE156" si="512">AB153+AD153</f>
        <v>0</v>
      </c>
      <c r="AF153" s="190">
        <f t="shared" ref="AF153:AF156" si="513">IFERROR((AE153-AB153)/AB153,0)</f>
        <v>0</v>
      </c>
      <c r="AG153" s="83"/>
      <c r="AH153" s="186">
        <f t="shared" ref="AH153:AH156" si="514">AE153+AG153</f>
        <v>0</v>
      </c>
      <c r="AI153" s="190">
        <f t="shared" ref="AI153:AI156" si="515">IFERROR((AH153-AE153)/AE153,0)</f>
        <v>0</v>
      </c>
      <c r="AJ153" s="83"/>
      <c r="AK153" s="186">
        <f t="shared" ref="AK153:AK156" si="516">AH153+AJ153</f>
        <v>0</v>
      </c>
      <c r="AL153" s="190">
        <f t="shared" ref="AL153:AL156" si="517">IFERROR((AK153-AH153)/AH153,0)</f>
        <v>0</v>
      </c>
      <c r="AM153" s="193">
        <f>X153+AA153+AD153+AG153+AJ153</f>
        <v>0</v>
      </c>
      <c r="AN153" s="192">
        <f>IFERROR((AK153/Y153)^(1/4)-1,0)</f>
        <v>0</v>
      </c>
    </row>
    <row r="154" spans="2:40" outlineLevel="1" x14ac:dyDescent="0.25">
      <c r="B154" s="52" t="s">
        <v>284</v>
      </c>
      <c r="C154" s="64" t="s">
        <v>22</v>
      </c>
      <c r="D154" s="83">
        <v>0</v>
      </c>
      <c r="E154" s="83">
        <v>0</v>
      </c>
      <c r="F154" s="83">
        <v>0</v>
      </c>
      <c r="G154" s="186">
        <f t="shared" si="498"/>
        <v>0</v>
      </c>
      <c r="H154" s="190">
        <f t="shared" si="499"/>
        <v>0</v>
      </c>
      <c r="I154" s="83">
        <v>0</v>
      </c>
      <c r="J154" s="186">
        <f t="shared" si="500"/>
        <v>0</v>
      </c>
      <c r="K154" s="190">
        <f t="shared" si="501"/>
        <v>0</v>
      </c>
      <c r="L154" s="83">
        <v>0</v>
      </c>
      <c r="M154" s="186">
        <f t="shared" si="502"/>
        <v>0</v>
      </c>
      <c r="N154" s="190">
        <f t="shared" si="503"/>
        <v>0</v>
      </c>
      <c r="O154" s="83"/>
      <c r="P154" s="150"/>
      <c r="Q154" s="152"/>
      <c r="R154" s="83"/>
      <c r="S154" s="186">
        <f t="shared" si="504"/>
        <v>0</v>
      </c>
      <c r="T154" s="190">
        <f t="shared" si="505"/>
        <v>0</v>
      </c>
      <c r="U154" s="181">
        <f t="shared" si="506"/>
        <v>0</v>
      </c>
      <c r="V154" s="192">
        <f t="shared" si="507"/>
        <v>0</v>
      </c>
      <c r="X154" s="83"/>
      <c r="Y154" s="186">
        <f t="shared" si="508"/>
        <v>0</v>
      </c>
      <c r="Z154" s="190">
        <f t="shared" si="509"/>
        <v>0</v>
      </c>
      <c r="AA154" s="83"/>
      <c r="AB154" s="186">
        <f t="shared" si="510"/>
        <v>0</v>
      </c>
      <c r="AC154" s="190">
        <f t="shared" si="511"/>
        <v>0</v>
      </c>
      <c r="AD154" s="83"/>
      <c r="AE154" s="186">
        <f t="shared" si="512"/>
        <v>0</v>
      </c>
      <c r="AF154" s="190">
        <f t="shared" si="513"/>
        <v>0</v>
      </c>
      <c r="AG154" s="83"/>
      <c r="AH154" s="186">
        <f t="shared" si="514"/>
        <v>0</v>
      </c>
      <c r="AI154" s="190">
        <f t="shared" si="515"/>
        <v>0</v>
      </c>
      <c r="AJ154" s="83"/>
      <c r="AK154" s="186">
        <f t="shared" si="516"/>
        <v>0</v>
      </c>
      <c r="AL154" s="190">
        <f t="shared" si="517"/>
        <v>0</v>
      </c>
      <c r="AM154" s="181">
        <f t="shared" ref="AM154:AM156" si="518">X154+AA154+AD154+AG154+AJ154</f>
        <v>0</v>
      </c>
      <c r="AN154" s="192">
        <f t="shared" ref="AN154:AN169" si="519">IFERROR((AK154/Y154)^(1/4)-1,0)</f>
        <v>0</v>
      </c>
    </row>
    <row r="155" spans="2:40" outlineLevel="1" x14ac:dyDescent="0.25">
      <c r="B155" s="52" t="s">
        <v>285</v>
      </c>
      <c r="C155" s="64" t="s">
        <v>22</v>
      </c>
      <c r="D155" s="83">
        <v>0</v>
      </c>
      <c r="E155" s="83">
        <v>0</v>
      </c>
      <c r="F155" s="83">
        <v>0</v>
      </c>
      <c r="G155" s="186">
        <f t="shared" si="498"/>
        <v>0</v>
      </c>
      <c r="H155" s="190">
        <f t="shared" si="499"/>
        <v>0</v>
      </c>
      <c r="I155" s="83">
        <v>0</v>
      </c>
      <c r="J155" s="186">
        <f t="shared" si="500"/>
        <v>0</v>
      </c>
      <c r="K155" s="190">
        <f t="shared" si="501"/>
        <v>0</v>
      </c>
      <c r="L155" s="83">
        <v>0</v>
      </c>
      <c r="M155" s="186">
        <f t="shared" si="502"/>
        <v>0</v>
      </c>
      <c r="N155" s="190">
        <f t="shared" si="503"/>
        <v>0</v>
      </c>
      <c r="O155" s="83"/>
      <c r="P155" s="150"/>
      <c r="Q155" s="152"/>
      <c r="R155" s="83"/>
      <c r="S155" s="186">
        <f t="shared" si="504"/>
        <v>0</v>
      </c>
      <c r="T155" s="190">
        <f t="shared" si="505"/>
        <v>0</v>
      </c>
      <c r="U155" s="181">
        <f t="shared" si="506"/>
        <v>0</v>
      </c>
      <c r="V155" s="192">
        <f t="shared" si="507"/>
        <v>0</v>
      </c>
      <c r="X155" s="83"/>
      <c r="Y155" s="186">
        <f t="shared" si="508"/>
        <v>0</v>
      </c>
      <c r="Z155" s="190">
        <f t="shared" si="509"/>
        <v>0</v>
      </c>
      <c r="AA155" s="83"/>
      <c r="AB155" s="186">
        <f t="shared" si="510"/>
        <v>0</v>
      </c>
      <c r="AC155" s="190">
        <f t="shared" si="511"/>
        <v>0</v>
      </c>
      <c r="AD155" s="83"/>
      <c r="AE155" s="186">
        <f t="shared" si="512"/>
        <v>0</v>
      </c>
      <c r="AF155" s="190">
        <f t="shared" si="513"/>
        <v>0</v>
      </c>
      <c r="AG155" s="83"/>
      <c r="AH155" s="186">
        <f t="shared" si="514"/>
        <v>0</v>
      </c>
      <c r="AI155" s="190">
        <f t="shared" si="515"/>
        <v>0</v>
      </c>
      <c r="AJ155" s="83"/>
      <c r="AK155" s="186">
        <f t="shared" si="516"/>
        <v>0</v>
      </c>
      <c r="AL155" s="190">
        <f t="shared" si="517"/>
        <v>0</v>
      </c>
      <c r="AM155" s="181">
        <f t="shared" si="518"/>
        <v>0</v>
      </c>
      <c r="AN155" s="192">
        <f t="shared" si="519"/>
        <v>0</v>
      </c>
    </row>
    <row r="156" spans="2:40" outlineLevel="1" x14ac:dyDescent="0.25">
      <c r="B156" s="52" t="s">
        <v>286</v>
      </c>
      <c r="C156" s="64" t="s">
        <v>22</v>
      </c>
      <c r="D156" s="83">
        <v>0</v>
      </c>
      <c r="E156" s="83">
        <v>0</v>
      </c>
      <c r="F156" s="83">
        <v>0</v>
      </c>
      <c r="G156" s="187">
        <f t="shared" si="498"/>
        <v>0</v>
      </c>
      <c r="H156" s="191">
        <f t="shared" si="499"/>
        <v>0</v>
      </c>
      <c r="I156" s="83">
        <v>0</v>
      </c>
      <c r="J156" s="187">
        <f t="shared" si="500"/>
        <v>0</v>
      </c>
      <c r="K156" s="191">
        <f t="shared" si="501"/>
        <v>0</v>
      </c>
      <c r="L156" s="83">
        <v>0</v>
      </c>
      <c r="M156" s="187">
        <f t="shared" si="502"/>
        <v>0</v>
      </c>
      <c r="N156" s="191">
        <f t="shared" si="503"/>
        <v>0</v>
      </c>
      <c r="O156" s="85"/>
      <c r="P156" s="152"/>
      <c r="Q156" s="152"/>
      <c r="R156" s="85"/>
      <c r="S156" s="186">
        <f t="shared" si="504"/>
        <v>0</v>
      </c>
      <c r="T156" s="191">
        <f t="shared" si="505"/>
        <v>0</v>
      </c>
      <c r="U156" s="181">
        <f t="shared" si="506"/>
        <v>0</v>
      </c>
      <c r="V156" s="192">
        <f t="shared" si="507"/>
        <v>0</v>
      </c>
      <c r="X156" s="85"/>
      <c r="Y156" s="186">
        <f t="shared" si="508"/>
        <v>0</v>
      </c>
      <c r="Z156" s="191">
        <f t="shared" si="509"/>
        <v>0</v>
      </c>
      <c r="AA156" s="85"/>
      <c r="AB156" s="187">
        <f t="shared" si="510"/>
        <v>0</v>
      </c>
      <c r="AC156" s="191">
        <f t="shared" si="511"/>
        <v>0</v>
      </c>
      <c r="AD156" s="85"/>
      <c r="AE156" s="187">
        <f t="shared" si="512"/>
        <v>0</v>
      </c>
      <c r="AF156" s="191">
        <f t="shared" si="513"/>
        <v>0</v>
      </c>
      <c r="AG156" s="85"/>
      <c r="AH156" s="187">
        <f t="shared" si="514"/>
        <v>0</v>
      </c>
      <c r="AI156" s="191">
        <f t="shared" si="515"/>
        <v>0</v>
      </c>
      <c r="AJ156" s="85"/>
      <c r="AK156" s="187">
        <f t="shared" si="516"/>
        <v>0</v>
      </c>
      <c r="AL156" s="191">
        <f t="shared" si="517"/>
        <v>0</v>
      </c>
      <c r="AM156" s="181">
        <f t="shared" si="518"/>
        <v>0</v>
      </c>
      <c r="AN156" s="192">
        <f t="shared" si="519"/>
        <v>0</v>
      </c>
    </row>
    <row r="157" spans="2:40" outlineLevel="1" x14ac:dyDescent="0.25">
      <c r="B157" s="52" t="s">
        <v>287</v>
      </c>
      <c r="C157" s="64" t="s">
        <v>22</v>
      </c>
      <c r="D157" s="83">
        <v>0</v>
      </c>
      <c r="E157" s="83">
        <v>0</v>
      </c>
      <c r="F157" s="83">
        <v>0</v>
      </c>
      <c r="G157" s="187">
        <f t="shared" ref="G157" si="520">E157+F157</f>
        <v>0</v>
      </c>
      <c r="H157" s="191">
        <f t="shared" ref="H157" si="521">IFERROR((G157-E157)/E157,0)</f>
        <v>0</v>
      </c>
      <c r="I157" s="83">
        <v>0</v>
      </c>
      <c r="J157" s="187">
        <f t="shared" ref="J157" si="522">G157+I157</f>
        <v>0</v>
      </c>
      <c r="K157" s="191">
        <f t="shared" ref="K157" si="523">IFERROR((J157-G157)/G157,0)</f>
        <v>0</v>
      </c>
      <c r="L157" s="83">
        <v>0</v>
      </c>
      <c r="M157" s="187">
        <f t="shared" ref="M157" si="524">J157+L157</f>
        <v>0</v>
      </c>
      <c r="N157" s="191">
        <f t="shared" ref="N157" si="525">IFERROR((M157-J157)/J157,0)</f>
        <v>0</v>
      </c>
      <c r="O157" s="85"/>
      <c r="P157" s="152"/>
      <c r="Q157" s="152"/>
      <c r="R157" s="85"/>
      <c r="S157" s="186">
        <f t="shared" ref="S157" si="526">M157+R157</f>
        <v>0</v>
      </c>
      <c r="T157" s="191">
        <f t="shared" ref="T157" si="527">IFERROR((S157-M157)/M157,0)</f>
        <v>0</v>
      </c>
      <c r="U157" s="181">
        <f t="shared" ref="U157" si="528">D157+F157+I157+L157+R157</f>
        <v>0</v>
      </c>
      <c r="V157" s="192">
        <f t="shared" si="507"/>
        <v>0</v>
      </c>
      <c r="X157" s="85"/>
      <c r="Y157" s="186">
        <f t="shared" ref="Y157" si="529">S157+X157</f>
        <v>0</v>
      </c>
      <c r="Z157" s="191">
        <f t="shared" ref="Z157" si="530">IFERROR((Y157-S157)/S157,0)</f>
        <v>0</v>
      </c>
      <c r="AA157" s="85"/>
      <c r="AB157" s="187">
        <f t="shared" ref="AB157" si="531">Y157+AA157</f>
        <v>0</v>
      </c>
      <c r="AC157" s="191">
        <f t="shared" ref="AC157" si="532">IFERROR((AB157-Y157)/Y157,0)</f>
        <v>0</v>
      </c>
      <c r="AD157" s="85"/>
      <c r="AE157" s="187">
        <f t="shared" ref="AE157" si="533">AB157+AD157</f>
        <v>0</v>
      </c>
      <c r="AF157" s="191">
        <f t="shared" ref="AF157" si="534">IFERROR((AE157-AB157)/AB157,0)</f>
        <v>0</v>
      </c>
      <c r="AG157" s="85"/>
      <c r="AH157" s="187">
        <f t="shared" ref="AH157" si="535">AE157+AG157</f>
        <v>0</v>
      </c>
      <c r="AI157" s="191">
        <f t="shared" ref="AI157" si="536">IFERROR((AH157-AE157)/AE157,0)</f>
        <v>0</v>
      </c>
      <c r="AJ157" s="85"/>
      <c r="AK157" s="187">
        <f t="shared" ref="AK157" si="537">AH157+AJ157</f>
        <v>0</v>
      </c>
      <c r="AL157" s="191">
        <f t="shared" ref="AL157" si="538">IFERROR((AK157-AH157)/AH157,0)</f>
        <v>0</v>
      </c>
      <c r="AM157" s="181">
        <f t="shared" ref="AM157" si="539">X157+AA157+AD157+AG157+AJ157</f>
        <v>0</v>
      </c>
      <c r="AN157" s="192">
        <f t="shared" ref="AN157" si="540">IFERROR((AK157/Y157)^(1/4)-1,0)</f>
        <v>0</v>
      </c>
    </row>
    <row r="158" spans="2:40" outlineLevel="1" x14ac:dyDescent="0.25">
      <c r="B158" s="52" t="s">
        <v>288</v>
      </c>
      <c r="C158" s="64" t="s">
        <v>22</v>
      </c>
      <c r="D158" s="83">
        <v>0</v>
      </c>
      <c r="E158" s="83">
        <v>0</v>
      </c>
      <c r="F158" s="83">
        <v>0</v>
      </c>
      <c r="G158" s="187">
        <f t="shared" ref="G158" si="541">E158+F158</f>
        <v>0</v>
      </c>
      <c r="H158" s="191">
        <f t="shared" ref="H158" si="542">IFERROR((G158-E158)/E158,0)</f>
        <v>0</v>
      </c>
      <c r="I158" s="83">
        <v>0</v>
      </c>
      <c r="J158" s="187">
        <f t="shared" ref="J158" si="543">G158+I158</f>
        <v>0</v>
      </c>
      <c r="K158" s="191">
        <f t="shared" ref="K158" si="544">IFERROR((J158-G158)/G158,0)</f>
        <v>0</v>
      </c>
      <c r="L158" s="83">
        <v>0</v>
      </c>
      <c r="M158" s="187">
        <f t="shared" ref="M158" si="545">J158+L158</f>
        <v>0</v>
      </c>
      <c r="N158" s="191">
        <f t="shared" ref="N158" si="546">IFERROR((M158-J158)/J158,0)</f>
        <v>0</v>
      </c>
      <c r="O158" s="85"/>
      <c r="P158" s="152"/>
      <c r="Q158" s="152"/>
      <c r="R158" s="85"/>
      <c r="S158" s="186">
        <f t="shared" ref="S158" si="547">M158+R158</f>
        <v>0</v>
      </c>
      <c r="T158" s="191">
        <f t="shared" ref="T158" si="548">IFERROR((S158-M158)/M158,0)</f>
        <v>0</v>
      </c>
      <c r="U158" s="181">
        <f t="shared" ref="U158" si="549">D158+F158+I158+L158+R158</f>
        <v>0</v>
      </c>
      <c r="V158" s="192">
        <f t="shared" si="507"/>
        <v>0</v>
      </c>
      <c r="X158" s="85"/>
      <c r="Y158" s="186">
        <f t="shared" ref="Y158" si="550">S158+X158</f>
        <v>0</v>
      </c>
      <c r="Z158" s="191">
        <f t="shared" ref="Z158" si="551">IFERROR((Y158-S158)/S158,0)</f>
        <v>0</v>
      </c>
      <c r="AA158" s="85"/>
      <c r="AB158" s="187">
        <f t="shared" ref="AB158" si="552">Y158+AA158</f>
        <v>0</v>
      </c>
      <c r="AC158" s="191">
        <f t="shared" ref="AC158" si="553">IFERROR((AB158-Y158)/Y158,0)</f>
        <v>0</v>
      </c>
      <c r="AD158" s="85"/>
      <c r="AE158" s="187">
        <f t="shared" ref="AE158" si="554">AB158+AD158</f>
        <v>0</v>
      </c>
      <c r="AF158" s="191">
        <f t="shared" ref="AF158" si="555">IFERROR((AE158-AB158)/AB158,0)</f>
        <v>0</v>
      </c>
      <c r="AG158" s="85"/>
      <c r="AH158" s="187">
        <f t="shared" ref="AH158" si="556">AE158+AG158</f>
        <v>0</v>
      </c>
      <c r="AI158" s="191">
        <f t="shared" ref="AI158" si="557">IFERROR((AH158-AE158)/AE158,0)</f>
        <v>0</v>
      </c>
      <c r="AJ158" s="85"/>
      <c r="AK158" s="187">
        <f t="shared" ref="AK158" si="558">AH158+AJ158</f>
        <v>0</v>
      </c>
      <c r="AL158" s="191">
        <f t="shared" ref="AL158" si="559">IFERROR((AK158-AH158)/AH158,0)</f>
        <v>0</v>
      </c>
      <c r="AM158" s="181">
        <f t="shared" ref="AM158" si="560">X158+AA158+AD158+AG158+AJ158</f>
        <v>0</v>
      </c>
      <c r="AN158" s="192">
        <f t="shared" ref="AN158" si="561">IFERROR((AK158/Y158)^(1/4)-1,0)</f>
        <v>0</v>
      </c>
    </row>
    <row r="159" spans="2:40" outlineLevel="1" x14ac:dyDescent="0.25">
      <c r="B159" s="52" t="s">
        <v>289</v>
      </c>
      <c r="C159" s="64" t="s">
        <v>22</v>
      </c>
      <c r="D159" s="83">
        <v>0</v>
      </c>
      <c r="E159" s="83">
        <v>0</v>
      </c>
      <c r="F159" s="83">
        <v>0</v>
      </c>
      <c r="G159" s="187">
        <f t="shared" ref="G159" si="562">E159+F159</f>
        <v>0</v>
      </c>
      <c r="H159" s="191">
        <f t="shared" ref="H159" si="563">IFERROR((G159-E159)/E159,0)</f>
        <v>0</v>
      </c>
      <c r="I159" s="83">
        <v>0</v>
      </c>
      <c r="J159" s="187">
        <f t="shared" ref="J159" si="564">G159+I159</f>
        <v>0</v>
      </c>
      <c r="K159" s="191">
        <f t="shared" ref="K159" si="565">IFERROR((J159-G159)/G159,0)</f>
        <v>0</v>
      </c>
      <c r="L159" s="83">
        <v>0</v>
      </c>
      <c r="M159" s="187">
        <f t="shared" ref="M159" si="566">J159+L159</f>
        <v>0</v>
      </c>
      <c r="N159" s="191">
        <f t="shared" ref="N159" si="567">IFERROR((M159-J159)/J159,0)</f>
        <v>0</v>
      </c>
      <c r="O159" s="85"/>
      <c r="P159" s="152"/>
      <c r="Q159" s="152"/>
      <c r="R159" s="85"/>
      <c r="S159" s="186">
        <f t="shared" ref="S159" si="568">M159+R159</f>
        <v>0</v>
      </c>
      <c r="T159" s="191">
        <f t="shared" ref="T159" si="569">IFERROR((S159-M159)/M159,0)</f>
        <v>0</v>
      </c>
      <c r="U159" s="181">
        <f t="shared" ref="U159" si="570">D159+F159+I159+L159+R159</f>
        <v>0</v>
      </c>
      <c r="V159" s="192">
        <f t="shared" si="507"/>
        <v>0</v>
      </c>
      <c r="X159" s="85"/>
      <c r="Y159" s="186">
        <f t="shared" ref="Y159" si="571">S159+X159</f>
        <v>0</v>
      </c>
      <c r="Z159" s="191">
        <f t="shared" ref="Z159" si="572">IFERROR((Y159-S159)/S159,0)</f>
        <v>0</v>
      </c>
      <c r="AA159" s="85"/>
      <c r="AB159" s="187">
        <f t="shared" ref="AB159" si="573">Y159+AA159</f>
        <v>0</v>
      </c>
      <c r="AC159" s="191">
        <f t="shared" ref="AC159" si="574">IFERROR((AB159-Y159)/Y159,0)</f>
        <v>0</v>
      </c>
      <c r="AD159" s="85"/>
      <c r="AE159" s="187">
        <f t="shared" ref="AE159" si="575">AB159+AD159</f>
        <v>0</v>
      </c>
      <c r="AF159" s="191">
        <f t="shared" ref="AF159" si="576">IFERROR((AE159-AB159)/AB159,0)</f>
        <v>0</v>
      </c>
      <c r="AG159" s="85"/>
      <c r="AH159" s="187">
        <f t="shared" ref="AH159" si="577">AE159+AG159</f>
        <v>0</v>
      </c>
      <c r="AI159" s="191">
        <f t="shared" ref="AI159" si="578">IFERROR((AH159-AE159)/AE159,0)</f>
        <v>0</v>
      </c>
      <c r="AJ159" s="85"/>
      <c r="AK159" s="187">
        <f t="shared" ref="AK159" si="579">AH159+AJ159</f>
        <v>0</v>
      </c>
      <c r="AL159" s="191">
        <f t="shared" ref="AL159" si="580">IFERROR((AK159-AH159)/AH159,0)</f>
        <v>0</v>
      </c>
      <c r="AM159" s="181">
        <f t="shared" ref="AM159" si="581">X159+AA159+AD159+AG159+AJ159</f>
        <v>0</v>
      </c>
      <c r="AN159" s="192">
        <f t="shared" ref="AN159" si="582">IFERROR((AK159/Y159)^(1/4)-1,0)</f>
        <v>0</v>
      </c>
    </row>
    <row r="160" spans="2:40" outlineLevel="1" x14ac:dyDescent="0.25">
      <c r="B160" s="52" t="s">
        <v>290</v>
      </c>
      <c r="C160" s="64" t="s">
        <v>22</v>
      </c>
      <c r="D160" s="83">
        <v>0</v>
      </c>
      <c r="E160" s="83">
        <v>0</v>
      </c>
      <c r="F160" s="83">
        <v>0</v>
      </c>
      <c r="G160" s="187">
        <f t="shared" ref="G160:G161" si="583">E160+F160</f>
        <v>0</v>
      </c>
      <c r="H160" s="191">
        <f t="shared" ref="H160:H167" si="584">IFERROR((G160-E160)/E160,0)</f>
        <v>0</v>
      </c>
      <c r="I160" s="83">
        <v>0</v>
      </c>
      <c r="J160" s="187">
        <f t="shared" ref="J160:J161" si="585">G160+I160</f>
        <v>0</v>
      </c>
      <c r="K160" s="191">
        <f t="shared" ref="K160:K167" si="586">IFERROR((J160-G160)/G160,0)</f>
        <v>0</v>
      </c>
      <c r="L160" s="83">
        <v>0</v>
      </c>
      <c r="M160" s="187">
        <f t="shared" ref="M160:M161" si="587">J160+L160</f>
        <v>0</v>
      </c>
      <c r="N160" s="191">
        <f t="shared" ref="N160:N167" si="588">IFERROR((M160-J160)/J160,0)</f>
        <v>0</v>
      </c>
      <c r="O160" s="85"/>
      <c r="P160" s="152"/>
      <c r="Q160" s="152"/>
      <c r="R160" s="85"/>
      <c r="S160" s="186">
        <f t="shared" ref="S160:S167" si="589">M160+R160</f>
        <v>0</v>
      </c>
      <c r="T160" s="191">
        <f t="shared" ref="T160:T167" si="590">IFERROR((S160-M160)/M160,0)</f>
        <v>0</v>
      </c>
      <c r="U160" s="181">
        <f t="shared" ref="U160:U167" si="591">D160+F160+I160+L160+R160</f>
        <v>0</v>
      </c>
      <c r="V160" s="192">
        <f t="shared" si="507"/>
        <v>0</v>
      </c>
      <c r="X160" s="85"/>
      <c r="Y160" s="186">
        <f t="shared" ref="Y160:Y161" si="592">S160+X160</f>
        <v>0</v>
      </c>
      <c r="Z160" s="191">
        <f t="shared" ref="Z160:Z167" si="593">IFERROR((Y160-S160)/S160,0)</f>
        <v>0</v>
      </c>
      <c r="AA160" s="85"/>
      <c r="AB160" s="187">
        <f t="shared" ref="AB160:AB161" si="594">Y160+AA160</f>
        <v>0</v>
      </c>
      <c r="AC160" s="191">
        <f t="shared" ref="AC160:AC167" si="595">IFERROR((AB160-Y160)/Y160,0)</f>
        <v>0</v>
      </c>
      <c r="AD160" s="85"/>
      <c r="AE160" s="187">
        <f t="shared" ref="AE160:AE161" si="596">AB160+AD160</f>
        <v>0</v>
      </c>
      <c r="AF160" s="191">
        <f t="shared" ref="AF160:AF167" si="597">IFERROR((AE160-AB160)/AB160,0)</f>
        <v>0</v>
      </c>
      <c r="AG160" s="85"/>
      <c r="AH160" s="187">
        <f t="shared" ref="AH160:AH161" si="598">AE160+AG160</f>
        <v>0</v>
      </c>
      <c r="AI160" s="191">
        <f t="shared" ref="AI160:AI167" si="599">IFERROR((AH160-AE160)/AE160,0)</f>
        <v>0</v>
      </c>
      <c r="AJ160" s="85"/>
      <c r="AK160" s="187">
        <f t="shared" ref="AK160:AK161" si="600">AH160+AJ160</f>
        <v>0</v>
      </c>
      <c r="AL160" s="191">
        <f t="shared" ref="AL160:AL167" si="601">IFERROR((AK160-AH160)/AH160,0)</f>
        <v>0</v>
      </c>
      <c r="AM160" s="181">
        <f t="shared" ref="AM160:AM161" si="602">X160+AA160+AD160+AG160+AJ160</f>
        <v>0</v>
      </c>
      <c r="AN160" s="192">
        <f t="shared" ref="AN160:AN167" si="603">IFERROR((AK160/Y160)^(1/4)-1,0)</f>
        <v>0</v>
      </c>
    </row>
    <row r="161" spans="2:40" outlineLevel="1" x14ac:dyDescent="0.25">
      <c r="B161" s="52" t="s">
        <v>291</v>
      </c>
      <c r="C161" s="64" t="s">
        <v>22</v>
      </c>
      <c r="D161" s="83">
        <v>0</v>
      </c>
      <c r="E161" s="83">
        <v>0</v>
      </c>
      <c r="F161" s="83">
        <v>0</v>
      </c>
      <c r="G161" s="187">
        <f t="shared" si="583"/>
        <v>0</v>
      </c>
      <c r="H161" s="191">
        <f t="shared" si="584"/>
        <v>0</v>
      </c>
      <c r="I161" s="83">
        <v>0</v>
      </c>
      <c r="J161" s="187">
        <f t="shared" si="585"/>
        <v>0</v>
      </c>
      <c r="K161" s="191">
        <f t="shared" si="586"/>
        <v>0</v>
      </c>
      <c r="L161" s="83">
        <v>0</v>
      </c>
      <c r="M161" s="187">
        <f t="shared" si="587"/>
        <v>0</v>
      </c>
      <c r="N161" s="191">
        <f t="shared" si="588"/>
        <v>0</v>
      </c>
      <c r="O161" s="85"/>
      <c r="P161" s="152"/>
      <c r="Q161" s="152"/>
      <c r="R161" s="85"/>
      <c r="S161" s="186">
        <f t="shared" si="589"/>
        <v>0</v>
      </c>
      <c r="T161" s="191">
        <f t="shared" si="590"/>
        <v>0</v>
      </c>
      <c r="U161" s="181">
        <f t="shared" si="591"/>
        <v>0</v>
      </c>
      <c r="V161" s="192">
        <f t="shared" si="507"/>
        <v>0</v>
      </c>
      <c r="X161" s="85"/>
      <c r="Y161" s="186">
        <f t="shared" si="592"/>
        <v>0</v>
      </c>
      <c r="Z161" s="191">
        <f t="shared" si="593"/>
        <v>0</v>
      </c>
      <c r="AA161" s="85"/>
      <c r="AB161" s="187">
        <f t="shared" si="594"/>
        <v>0</v>
      </c>
      <c r="AC161" s="191">
        <f t="shared" si="595"/>
        <v>0</v>
      </c>
      <c r="AD161" s="85"/>
      <c r="AE161" s="187">
        <f t="shared" si="596"/>
        <v>0</v>
      </c>
      <c r="AF161" s="191">
        <f t="shared" si="597"/>
        <v>0</v>
      </c>
      <c r="AG161" s="85"/>
      <c r="AH161" s="187">
        <f t="shared" si="598"/>
        <v>0</v>
      </c>
      <c r="AI161" s="191">
        <f t="shared" si="599"/>
        <v>0</v>
      </c>
      <c r="AJ161" s="85"/>
      <c r="AK161" s="187">
        <f t="shared" si="600"/>
        <v>0</v>
      </c>
      <c r="AL161" s="191">
        <f t="shared" si="601"/>
        <v>0</v>
      </c>
      <c r="AM161" s="181">
        <f t="shared" si="602"/>
        <v>0</v>
      </c>
      <c r="AN161" s="192">
        <f t="shared" si="603"/>
        <v>0</v>
      </c>
    </row>
    <row r="162" spans="2:40" outlineLevel="1" x14ac:dyDescent="0.25">
      <c r="B162" s="52" t="s">
        <v>307</v>
      </c>
      <c r="C162" s="64"/>
      <c r="D162" s="83"/>
      <c r="E162" s="83"/>
      <c r="F162" s="83"/>
      <c r="G162" s="187"/>
      <c r="H162" s="191">
        <f t="shared" si="584"/>
        <v>0</v>
      </c>
      <c r="I162" s="83"/>
      <c r="J162" s="187"/>
      <c r="K162" s="191">
        <f t="shared" si="586"/>
        <v>0</v>
      </c>
      <c r="L162" s="83"/>
      <c r="M162" s="187"/>
      <c r="N162" s="191">
        <f t="shared" si="588"/>
        <v>0</v>
      </c>
      <c r="O162" s="85"/>
      <c r="P162" s="152"/>
      <c r="Q162" s="152"/>
      <c r="R162" s="85"/>
      <c r="S162" s="186">
        <f t="shared" si="589"/>
        <v>0</v>
      </c>
      <c r="T162" s="191">
        <f t="shared" si="590"/>
        <v>0</v>
      </c>
      <c r="U162" s="181">
        <f t="shared" si="591"/>
        <v>0</v>
      </c>
      <c r="V162" s="192">
        <f t="shared" si="507"/>
        <v>0</v>
      </c>
      <c r="X162" s="85"/>
      <c r="Y162" s="186"/>
      <c r="Z162" s="191">
        <f t="shared" si="593"/>
        <v>0</v>
      </c>
      <c r="AA162" s="85"/>
      <c r="AB162" s="187"/>
      <c r="AC162" s="191">
        <f t="shared" si="595"/>
        <v>0</v>
      </c>
      <c r="AD162" s="85"/>
      <c r="AE162" s="187"/>
      <c r="AF162" s="191">
        <f t="shared" si="597"/>
        <v>0</v>
      </c>
      <c r="AG162" s="85"/>
      <c r="AH162" s="187"/>
      <c r="AI162" s="191">
        <f t="shared" si="599"/>
        <v>0</v>
      </c>
      <c r="AJ162" s="85"/>
      <c r="AK162" s="187"/>
      <c r="AL162" s="191">
        <f t="shared" si="601"/>
        <v>0</v>
      </c>
      <c r="AM162" s="181"/>
      <c r="AN162" s="192">
        <f t="shared" si="603"/>
        <v>0</v>
      </c>
    </row>
    <row r="163" spans="2:40" outlineLevel="1" x14ac:dyDescent="0.25">
      <c r="B163" s="52" t="s">
        <v>304</v>
      </c>
      <c r="C163" s="64"/>
      <c r="D163" s="83"/>
      <c r="E163" s="83"/>
      <c r="F163" s="83"/>
      <c r="G163" s="187"/>
      <c r="H163" s="191">
        <f t="shared" si="584"/>
        <v>0</v>
      </c>
      <c r="I163" s="83"/>
      <c r="J163" s="187"/>
      <c r="K163" s="191">
        <f t="shared" si="586"/>
        <v>0</v>
      </c>
      <c r="L163" s="83"/>
      <c r="M163" s="187"/>
      <c r="N163" s="191">
        <f t="shared" si="588"/>
        <v>0</v>
      </c>
      <c r="O163" s="85"/>
      <c r="P163" s="152"/>
      <c r="Q163" s="152"/>
      <c r="R163" s="85"/>
      <c r="S163" s="186">
        <f t="shared" si="589"/>
        <v>0</v>
      </c>
      <c r="T163" s="191">
        <f t="shared" si="590"/>
        <v>0</v>
      </c>
      <c r="U163" s="181">
        <f t="shared" si="591"/>
        <v>0</v>
      </c>
      <c r="V163" s="192">
        <f t="shared" si="507"/>
        <v>0</v>
      </c>
      <c r="X163" s="85"/>
      <c r="Y163" s="186"/>
      <c r="Z163" s="191">
        <f t="shared" si="593"/>
        <v>0</v>
      </c>
      <c r="AA163" s="85"/>
      <c r="AB163" s="187"/>
      <c r="AC163" s="191">
        <f t="shared" si="595"/>
        <v>0</v>
      </c>
      <c r="AD163" s="85"/>
      <c r="AE163" s="187"/>
      <c r="AF163" s="191">
        <f t="shared" si="597"/>
        <v>0</v>
      </c>
      <c r="AG163" s="85"/>
      <c r="AH163" s="187"/>
      <c r="AI163" s="191">
        <f t="shared" si="599"/>
        <v>0</v>
      </c>
      <c r="AJ163" s="85"/>
      <c r="AK163" s="187"/>
      <c r="AL163" s="191">
        <f t="shared" si="601"/>
        <v>0</v>
      </c>
      <c r="AM163" s="181"/>
      <c r="AN163" s="192">
        <f t="shared" si="603"/>
        <v>0</v>
      </c>
    </row>
    <row r="164" spans="2:40" outlineLevel="1" x14ac:dyDescent="0.25">
      <c r="B164" s="52" t="s">
        <v>305</v>
      </c>
      <c r="C164" s="64"/>
      <c r="D164" s="83"/>
      <c r="E164" s="83"/>
      <c r="F164" s="83"/>
      <c r="G164" s="187"/>
      <c r="H164" s="191">
        <f t="shared" si="584"/>
        <v>0</v>
      </c>
      <c r="I164" s="83"/>
      <c r="J164" s="187"/>
      <c r="K164" s="191">
        <f t="shared" si="586"/>
        <v>0</v>
      </c>
      <c r="L164" s="83"/>
      <c r="M164" s="187"/>
      <c r="N164" s="191">
        <f t="shared" si="588"/>
        <v>0</v>
      </c>
      <c r="O164" s="85"/>
      <c r="P164" s="152"/>
      <c r="Q164" s="152"/>
      <c r="R164" s="85"/>
      <c r="S164" s="186">
        <f t="shared" si="589"/>
        <v>0</v>
      </c>
      <c r="T164" s="191">
        <f t="shared" si="590"/>
        <v>0</v>
      </c>
      <c r="U164" s="181">
        <f t="shared" si="591"/>
        <v>0</v>
      </c>
      <c r="V164" s="192">
        <f t="shared" si="507"/>
        <v>0</v>
      </c>
      <c r="X164" s="85"/>
      <c r="Y164" s="186"/>
      <c r="Z164" s="191">
        <f t="shared" si="593"/>
        <v>0</v>
      </c>
      <c r="AA164" s="85"/>
      <c r="AB164" s="187"/>
      <c r="AC164" s="191">
        <f t="shared" si="595"/>
        <v>0</v>
      </c>
      <c r="AD164" s="85"/>
      <c r="AE164" s="187"/>
      <c r="AF164" s="191">
        <f t="shared" si="597"/>
        <v>0</v>
      </c>
      <c r="AG164" s="85"/>
      <c r="AH164" s="187"/>
      <c r="AI164" s="191">
        <f t="shared" si="599"/>
        <v>0</v>
      </c>
      <c r="AJ164" s="85"/>
      <c r="AK164" s="187"/>
      <c r="AL164" s="191">
        <f t="shared" si="601"/>
        <v>0</v>
      </c>
      <c r="AM164" s="181"/>
      <c r="AN164" s="192">
        <f t="shared" si="603"/>
        <v>0</v>
      </c>
    </row>
    <row r="165" spans="2:40" outlineLevel="1" x14ac:dyDescent="0.25">
      <c r="B165" s="52" t="s">
        <v>306</v>
      </c>
      <c r="C165" s="64"/>
      <c r="D165" s="83"/>
      <c r="E165" s="83"/>
      <c r="F165" s="83"/>
      <c r="G165" s="187"/>
      <c r="H165" s="191">
        <f t="shared" si="584"/>
        <v>0</v>
      </c>
      <c r="I165" s="83"/>
      <c r="J165" s="187"/>
      <c r="K165" s="191">
        <f t="shared" si="586"/>
        <v>0</v>
      </c>
      <c r="L165" s="83"/>
      <c r="M165" s="187"/>
      <c r="N165" s="191">
        <f t="shared" si="588"/>
        <v>0</v>
      </c>
      <c r="O165" s="85"/>
      <c r="P165" s="152"/>
      <c r="Q165" s="152"/>
      <c r="R165" s="85"/>
      <c r="S165" s="186">
        <f t="shared" si="589"/>
        <v>0</v>
      </c>
      <c r="T165" s="191">
        <f t="shared" si="590"/>
        <v>0</v>
      </c>
      <c r="U165" s="181">
        <f t="shared" si="591"/>
        <v>0</v>
      </c>
      <c r="V165" s="192">
        <f t="shared" si="507"/>
        <v>0</v>
      </c>
      <c r="X165" s="85"/>
      <c r="Y165" s="186"/>
      <c r="Z165" s="191">
        <f t="shared" si="593"/>
        <v>0</v>
      </c>
      <c r="AA165" s="85"/>
      <c r="AB165" s="187"/>
      <c r="AC165" s="191">
        <f t="shared" si="595"/>
        <v>0</v>
      </c>
      <c r="AD165" s="85"/>
      <c r="AE165" s="187"/>
      <c r="AF165" s="191">
        <f t="shared" si="597"/>
        <v>0</v>
      </c>
      <c r="AG165" s="85"/>
      <c r="AH165" s="187"/>
      <c r="AI165" s="191">
        <f t="shared" si="599"/>
        <v>0</v>
      </c>
      <c r="AJ165" s="85"/>
      <c r="AK165" s="187"/>
      <c r="AL165" s="191">
        <f t="shared" si="601"/>
        <v>0</v>
      </c>
      <c r="AM165" s="181"/>
      <c r="AN165" s="192">
        <f t="shared" si="603"/>
        <v>0</v>
      </c>
    </row>
    <row r="166" spans="2:40" outlineLevel="1" x14ac:dyDescent="0.25">
      <c r="B166" s="52" t="s">
        <v>308</v>
      </c>
      <c r="C166" s="64"/>
      <c r="D166" s="83"/>
      <c r="E166" s="83"/>
      <c r="F166" s="83"/>
      <c r="G166" s="187"/>
      <c r="H166" s="191">
        <f t="shared" si="584"/>
        <v>0</v>
      </c>
      <c r="I166" s="83"/>
      <c r="J166" s="187"/>
      <c r="K166" s="191">
        <f t="shared" si="586"/>
        <v>0</v>
      </c>
      <c r="L166" s="83"/>
      <c r="M166" s="187"/>
      <c r="N166" s="191">
        <f t="shared" si="588"/>
        <v>0</v>
      </c>
      <c r="O166" s="85"/>
      <c r="P166" s="152"/>
      <c r="Q166" s="152"/>
      <c r="R166" s="85"/>
      <c r="S166" s="186">
        <f t="shared" si="589"/>
        <v>0</v>
      </c>
      <c r="T166" s="191">
        <f t="shared" si="590"/>
        <v>0</v>
      </c>
      <c r="U166" s="181">
        <f t="shared" si="591"/>
        <v>0</v>
      </c>
      <c r="V166" s="192">
        <f t="shared" si="507"/>
        <v>0</v>
      </c>
      <c r="X166" s="85"/>
      <c r="Y166" s="186"/>
      <c r="Z166" s="191">
        <f t="shared" si="593"/>
        <v>0</v>
      </c>
      <c r="AA166" s="85"/>
      <c r="AB166" s="187"/>
      <c r="AC166" s="191">
        <f t="shared" si="595"/>
        <v>0</v>
      </c>
      <c r="AD166" s="85"/>
      <c r="AE166" s="187"/>
      <c r="AF166" s="191">
        <f t="shared" si="597"/>
        <v>0</v>
      </c>
      <c r="AG166" s="85"/>
      <c r="AH166" s="187"/>
      <c r="AI166" s="191">
        <f t="shared" si="599"/>
        <v>0</v>
      </c>
      <c r="AJ166" s="85"/>
      <c r="AK166" s="187"/>
      <c r="AL166" s="191">
        <f t="shared" si="601"/>
        <v>0</v>
      </c>
      <c r="AM166" s="181"/>
      <c r="AN166" s="192">
        <f t="shared" si="603"/>
        <v>0</v>
      </c>
    </row>
    <row r="167" spans="2:40" outlineLevel="1" x14ac:dyDescent="0.25">
      <c r="B167" s="52"/>
      <c r="C167" s="64"/>
      <c r="D167" s="83"/>
      <c r="E167" s="83"/>
      <c r="F167" s="83"/>
      <c r="G167" s="187"/>
      <c r="H167" s="191">
        <f t="shared" si="584"/>
        <v>0</v>
      </c>
      <c r="I167" s="83"/>
      <c r="J167" s="187"/>
      <c r="K167" s="191">
        <f t="shared" si="586"/>
        <v>0</v>
      </c>
      <c r="L167" s="83"/>
      <c r="M167" s="187"/>
      <c r="N167" s="191">
        <f t="shared" si="588"/>
        <v>0</v>
      </c>
      <c r="O167" s="85"/>
      <c r="P167" s="152"/>
      <c r="Q167" s="152"/>
      <c r="R167" s="85"/>
      <c r="S167" s="186">
        <f t="shared" si="589"/>
        <v>0</v>
      </c>
      <c r="T167" s="191">
        <f t="shared" si="590"/>
        <v>0</v>
      </c>
      <c r="U167" s="181">
        <f t="shared" si="591"/>
        <v>0</v>
      </c>
      <c r="V167" s="192">
        <f t="shared" si="507"/>
        <v>0</v>
      </c>
      <c r="X167" s="85"/>
      <c r="Y167" s="186"/>
      <c r="Z167" s="191">
        <f t="shared" si="593"/>
        <v>0</v>
      </c>
      <c r="AA167" s="85"/>
      <c r="AB167" s="187"/>
      <c r="AC167" s="191">
        <f t="shared" si="595"/>
        <v>0</v>
      </c>
      <c r="AD167" s="85"/>
      <c r="AE167" s="187"/>
      <c r="AF167" s="191">
        <f t="shared" si="597"/>
        <v>0</v>
      </c>
      <c r="AG167" s="85"/>
      <c r="AH167" s="187"/>
      <c r="AI167" s="191">
        <f t="shared" si="599"/>
        <v>0</v>
      </c>
      <c r="AJ167" s="85"/>
      <c r="AK167" s="187"/>
      <c r="AL167" s="191">
        <f t="shared" si="601"/>
        <v>0</v>
      </c>
      <c r="AM167" s="181"/>
      <c r="AN167" s="192">
        <f t="shared" si="603"/>
        <v>0</v>
      </c>
    </row>
    <row r="168" spans="2:40" outlineLevel="1" x14ac:dyDescent="0.25">
      <c r="B168" s="349" t="s">
        <v>90</v>
      </c>
      <c r="C168" s="350"/>
      <c r="D168" s="350"/>
      <c r="E168" s="350"/>
      <c r="F168" s="350"/>
      <c r="G168" s="350"/>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1"/>
    </row>
    <row r="169" spans="2:40" outlineLevel="1" x14ac:dyDescent="0.25">
      <c r="B169" s="52" t="s">
        <v>82</v>
      </c>
      <c r="C169" s="49" t="s">
        <v>22</v>
      </c>
      <c r="D169" s="188">
        <f>SUM(D153:D167)</f>
        <v>0</v>
      </c>
      <c r="E169" s="189">
        <f>SUM(E153:E167)</f>
        <v>0</v>
      </c>
      <c r="F169" s="188">
        <f>SUM(F153:F167)</f>
        <v>0</v>
      </c>
      <c r="G169" s="187">
        <f>SUM(G153:G167)</f>
        <v>0</v>
      </c>
      <c r="H169" s="191">
        <f>IFERROR((G169-E169)/E169,0)</f>
        <v>0</v>
      </c>
      <c r="I169" s="188">
        <f>SUM(I153:I167)</f>
        <v>0</v>
      </c>
      <c r="J169" s="187">
        <f>SUM(J153:J167)</f>
        <v>0</v>
      </c>
      <c r="K169" s="191">
        <f t="shared" si="501"/>
        <v>0</v>
      </c>
      <c r="L169" s="188">
        <f>SUM(L153:L167)</f>
        <v>0</v>
      </c>
      <c r="M169" s="187">
        <f>SUM(M153:M167)</f>
        <v>0</v>
      </c>
      <c r="N169" s="191">
        <f t="shared" si="503"/>
        <v>0</v>
      </c>
      <c r="O169" s="188">
        <f>SUM(O153:O167)</f>
        <v>0</v>
      </c>
      <c r="P169" s="152"/>
      <c r="Q169" s="152"/>
      <c r="R169" s="188">
        <f>SUM(R153:R167)</f>
        <v>0</v>
      </c>
      <c r="S169" s="187">
        <f>M169+R169</f>
        <v>0</v>
      </c>
      <c r="T169" s="191">
        <f>IFERROR((S169-M169)/M169,0)</f>
        <v>0</v>
      </c>
      <c r="U169" s="181">
        <f>D169+F169+I169+L169+R169</f>
        <v>0</v>
      </c>
      <c r="V169" s="192">
        <f>IFERROR((S169/E169)^(1/4)-1,0)</f>
        <v>0</v>
      </c>
      <c r="X169" s="188">
        <f>SUM(X153:X167)</f>
        <v>0</v>
      </c>
      <c r="Y169" s="187">
        <f>SUM(Y153:Y167)</f>
        <v>0</v>
      </c>
      <c r="Z169" s="191">
        <f>IFERROR((Y169-S169)/S169,0)</f>
        <v>0</v>
      </c>
      <c r="AA169" s="188">
        <f>SUM(AA153:AA167)</f>
        <v>0</v>
      </c>
      <c r="AB169" s="187">
        <f>SUM(AB153:AB167)</f>
        <v>0</v>
      </c>
      <c r="AC169" s="191">
        <f t="shared" ref="AC169" si="604">IFERROR((AB169-Y169)/Y169,0)</f>
        <v>0</v>
      </c>
      <c r="AD169" s="188">
        <f>SUM(AD153:AD167)</f>
        <v>0</v>
      </c>
      <c r="AE169" s="187">
        <f>SUM(AE153:AE167)</f>
        <v>0</v>
      </c>
      <c r="AF169" s="191">
        <f t="shared" ref="AF169" si="605">IFERROR((AE169-AB169)/AB169,0)</f>
        <v>0</v>
      </c>
      <c r="AG169" s="188">
        <f>SUM(AG153:AG167)</f>
        <v>0</v>
      </c>
      <c r="AH169" s="187">
        <f>SUM(AH153:AH167)</f>
        <v>0</v>
      </c>
      <c r="AI169" s="191">
        <f t="shared" ref="AI169" si="606">IFERROR((AH169-AE169)/AE169,0)</f>
        <v>0</v>
      </c>
      <c r="AJ169" s="188">
        <f>SUM(AJ153:AJ167)</f>
        <v>0</v>
      </c>
      <c r="AK169" s="187">
        <f>SUM(AK153:AK167)</f>
        <v>0</v>
      </c>
      <c r="AL169" s="191">
        <f t="shared" ref="AL169" si="607">IFERROR((AK169-AH169)/AH169,0)</f>
        <v>0</v>
      </c>
      <c r="AM169" s="187">
        <f>SUM(AM153:AM167)</f>
        <v>0</v>
      </c>
      <c r="AN169" s="192">
        <f t="shared" si="519"/>
        <v>0</v>
      </c>
    </row>
    <row r="171" spans="2:40" ht="17.25" customHeight="1" x14ac:dyDescent="0.25">
      <c r="B171" s="352" t="s">
        <v>25</v>
      </c>
      <c r="C171" s="352"/>
      <c r="D171" s="352"/>
      <c r="E171" s="352"/>
      <c r="F171" s="352"/>
      <c r="G171" s="352"/>
      <c r="H171" s="352"/>
      <c r="I171" s="352"/>
      <c r="J171" s="352"/>
      <c r="K171" s="352"/>
      <c r="L171" s="352"/>
      <c r="M171" s="352"/>
      <c r="N171" s="352"/>
      <c r="O171" s="352"/>
      <c r="P171" s="352"/>
      <c r="Q171" s="352"/>
      <c r="R171" s="352"/>
      <c r="S171" s="352"/>
      <c r="T171" s="352"/>
      <c r="U171" s="352"/>
      <c r="V171" s="352"/>
      <c r="W171" s="352"/>
      <c r="X171" s="352"/>
      <c r="Y171" s="352"/>
      <c r="Z171" s="352"/>
      <c r="AA171" s="352"/>
      <c r="AB171" s="352"/>
      <c r="AC171" s="352"/>
      <c r="AD171" s="352"/>
      <c r="AE171" s="352"/>
      <c r="AF171" s="352"/>
      <c r="AG171" s="352"/>
      <c r="AH171" s="352"/>
      <c r="AI171" s="352"/>
      <c r="AJ171" s="352"/>
      <c r="AK171" s="352"/>
      <c r="AL171" s="352"/>
      <c r="AM171" s="352"/>
      <c r="AN171" s="367"/>
    </row>
    <row r="172" spans="2:40" ht="5.45" customHeight="1" outlineLevel="1" x14ac:dyDescent="0.2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row>
    <row r="173" spans="2:40" ht="15" customHeight="1" outlineLevel="1" x14ac:dyDescent="0.25">
      <c r="B173" s="368"/>
      <c r="C173" s="369" t="s">
        <v>20</v>
      </c>
      <c r="D173" s="372" t="s">
        <v>262</v>
      </c>
      <c r="E173" s="373"/>
      <c r="F173" s="373"/>
      <c r="G173" s="373"/>
      <c r="H173" s="373"/>
      <c r="I173" s="373"/>
      <c r="J173" s="373"/>
      <c r="K173" s="373"/>
      <c r="L173" s="373"/>
      <c r="M173" s="373"/>
      <c r="N173" s="373"/>
      <c r="O173" s="373"/>
      <c r="P173" s="373"/>
      <c r="Q173" s="374"/>
      <c r="R173" s="372" t="s">
        <v>260</v>
      </c>
      <c r="S173" s="373"/>
      <c r="T173" s="374"/>
      <c r="U173" s="388" t="str">
        <f xml:space="preserve"> D174&amp;" - "&amp;R174</f>
        <v>2018 - 2022</v>
      </c>
      <c r="V173" s="389"/>
      <c r="X173" s="372" t="s">
        <v>261</v>
      </c>
      <c r="Y173" s="373"/>
      <c r="Z173" s="373"/>
      <c r="AA173" s="373"/>
      <c r="AB173" s="373"/>
      <c r="AC173" s="373"/>
      <c r="AD173" s="373"/>
      <c r="AE173" s="373"/>
      <c r="AF173" s="373"/>
      <c r="AG173" s="373"/>
      <c r="AH173" s="373"/>
      <c r="AI173" s="373"/>
      <c r="AJ173" s="373"/>
      <c r="AK173" s="373"/>
      <c r="AL173" s="373"/>
      <c r="AM173" s="373"/>
      <c r="AN173" s="375"/>
    </row>
    <row r="174" spans="2:40" ht="15" customHeight="1" outlineLevel="1" x14ac:dyDescent="0.25">
      <c r="B174" s="368"/>
      <c r="C174" s="370"/>
      <c r="D174" s="372">
        <f>$C$3-5</f>
        <v>2018</v>
      </c>
      <c r="E174" s="374"/>
      <c r="F174" s="372">
        <f>$C$3-4</f>
        <v>2019</v>
      </c>
      <c r="G174" s="373"/>
      <c r="H174" s="374"/>
      <c r="I174" s="372">
        <f>$C$3-3</f>
        <v>2020</v>
      </c>
      <c r="J174" s="373"/>
      <c r="K174" s="374"/>
      <c r="L174" s="372">
        <f>$C$3-2</f>
        <v>2021</v>
      </c>
      <c r="M174" s="373"/>
      <c r="N174" s="374"/>
      <c r="O174" s="372" t="str">
        <f>$C$3-1&amp;""&amp;" ("&amp;"Σεπτ"&amp;")"</f>
        <v>2022 (Σεπτ)</v>
      </c>
      <c r="P174" s="373"/>
      <c r="Q174" s="374"/>
      <c r="R174" s="372">
        <f>$C$3-1</f>
        <v>2022</v>
      </c>
      <c r="S174" s="373"/>
      <c r="T174" s="374"/>
      <c r="U174" s="390"/>
      <c r="V174" s="391"/>
      <c r="X174" s="372">
        <f>$C$3</f>
        <v>2023</v>
      </c>
      <c r="Y174" s="373"/>
      <c r="Z174" s="374"/>
      <c r="AA174" s="372">
        <f>$C$3+1</f>
        <v>2024</v>
      </c>
      <c r="AB174" s="373"/>
      <c r="AC174" s="374"/>
      <c r="AD174" s="372">
        <f>$C$3+2</f>
        <v>2025</v>
      </c>
      <c r="AE174" s="373"/>
      <c r="AF174" s="374"/>
      <c r="AG174" s="372">
        <f>$C$3+3</f>
        <v>2026</v>
      </c>
      <c r="AH174" s="373"/>
      <c r="AI174" s="374"/>
      <c r="AJ174" s="372">
        <f>$C$3+4</f>
        <v>2027</v>
      </c>
      <c r="AK174" s="373"/>
      <c r="AL174" s="374"/>
      <c r="AM174" s="376" t="str">
        <f>X174&amp;" - "&amp;AJ174</f>
        <v>2023 - 2027</v>
      </c>
      <c r="AN174" s="377"/>
    </row>
    <row r="175" spans="2:40" ht="30" outlineLevel="1" x14ac:dyDescent="0.25">
      <c r="B175" s="368"/>
      <c r="C175" s="371"/>
      <c r="D175" s="67" t="s">
        <v>8</v>
      </c>
      <c r="E175" s="68" t="s">
        <v>9</v>
      </c>
      <c r="F175" s="67" t="s">
        <v>8</v>
      </c>
      <c r="G175" s="9" t="s">
        <v>9</v>
      </c>
      <c r="H175" s="68" t="s">
        <v>81</v>
      </c>
      <c r="I175" s="67" t="s">
        <v>8</v>
      </c>
      <c r="J175" s="9" t="s">
        <v>9</v>
      </c>
      <c r="K175" s="68" t="s">
        <v>81</v>
      </c>
      <c r="L175" s="67" t="s">
        <v>8</v>
      </c>
      <c r="M175" s="9" t="s">
        <v>9</v>
      </c>
      <c r="N175" s="68" t="s">
        <v>81</v>
      </c>
      <c r="O175" s="67" t="s">
        <v>8</v>
      </c>
      <c r="P175" s="9" t="s">
        <v>9</v>
      </c>
      <c r="Q175" s="68" t="s">
        <v>81</v>
      </c>
      <c r="R175" s="67" t="s">
        <v>4</v>
      </c>
      <c r="S175" s="9" t="s">
        <v>5</v>
      </c>
      <c r="T175" s="68" t="s">
        <v>81</v>
      </c>
      <c r="U175" s="9" t="s">
        <v>17</v>
      </c>
      <c r="V175" s="60" t="s">
        <v>83</v>
      </c>
      <c r="X175" s="67" t="s">
        <v>8</v>
      </c>
      <c r="Y175" s="9" t="s">
        <v>9</v>
      </c>
      <c r="Z175" s="68" t="s">
        <v>81</v>
      </c>
      <c r="AA175" s="67" t="s">
        <v>8</v>
      </c>
      <c r="AB175" s="9" t="s">
        <v>9</v>
      </c>
      <c r="AC175" s="68" t="s">
        <v>81</v>
      </c>
      <c r="AD175" s="67" t="s">
        <v>8</v>
      </c>
      <c r="AE175" s="9" t="s">
        <v>9</v>
      </c>
      <c r="AF175" s="68" t="s">
        <v>81</v>
      </c>
      <c r="AG175" s="67" t="s">
        <v>8</v>
      </c>
      <c r="AH175" s="9" t="s">
        <v>9</v>
      </c>
      <c r="AI175" s="68" t="s">
        <v>81</v>
      </c>
      <c r="AJ175" s="67" t="s">
        <v>8</v>
      </c>
      <c r="AK175" s="9" t="s">
        <v>9</v>
      </c>
      <c r="AL175" s="68" t="s">
        <v>81</v>
      </c>
      <c r="AM175" s="9" t="s">
        <v>17</v>
      </c>
      <c r="AN175" s="60" t="s">
        <v>83</v>
      </c>
    </row>
    <row r="176" spans="2:40" outlineLevel="1" x14ac:dyDescent="0.25">
      <c r="B176" s="52" t="s">
        <v>283</v>
      </c>
      <c r="C176" s="64" t="s">
        <v>22</v>
      </c>
      <c r="D176" s="83">
        <v>0</v>
      </c>
      <c r="E176" s="83">
        <v>0</v>
      </c>
      <c r="F176" s="83">
        <v>0</v>
      </c>
      <c r="G176" s="186">
        <f t="shared" ref="G176:G181" si="608">E176+F176</f>
        <v>0</v>
      </c>
      <c r="H176" s="190">
        <f t="shared" ref="H176:H181" si="609">IFERROR((G176-E176)/E176,0)</f>
        <v>0</v>
      </c>
      <c r="I176" s="83">
        <v>0</v>
      </c>
      <c r="J176" s="186">
        <f t="shared" si="2"/>
        <v>0</v>
      </c>
      <c r="K176" s="190">
        <f t="shared" si="3"/>
        <v>0</v>
      </c>
      <c r="L176" s="83">
        <v>0</v>
      </c>
      <c r="M176" s="186">
        <f t="shared" si="4"/>
        <v>0</v>
      </c>
      <c r="N176" s="190">
        <f t="shared" si="5"/>
        <v>0</v>
      </c>
      <c r="O176" s="83"/>
      <c r="P176" s="150"/>
      <c r="Q176" s="152"/>
      <c r="R176" s="83"/>
      <c r="S176" s="186">
        <f t="shared" ref="S176:S181" si="610">M176+R176</f>
        <v>0</v>
      </c>
      <c r="T176" s="190">
        <f t="shared" ref="T176:T181" si="611">IFERROR((S176-M176)/M176,0)</f>
        <v>0</v>
      </c>
      <c r="U176" s="181">
        <f t="shared" ref="U176:U181" si="612">D176+F176+I176+L176+R176</f>
        <v>0</v>
      </c>
      <c r="V176" s="192">
        <f t="shared" ref="V176:V190" si="613">IFERROR((S176/E176)^(1/4)-1,0)</f>
        <v>0</v>
      </c>
      <c r="X176" s="83"/>
      <c r="Y176" s="186">
        <f t="shared" ref="Y176:Y181" si="614">S176+X176</f>
        <v>0</v>
      </c>
      <c r="Z176" s="190">
        <f t="shared" ref="Z176:Z181" si="615">IFERROR((Y176-S176)/S176,0)</f>
        <v>0</v>
      </c>
      <c r="AA176" s="83"/>
      <c r="AB176" s="186">
        <f t="shared" ref="AB176:AB181" si="616">Y176+AA176</f>
        <v>0</v>
      </c>
      <c r="AC176" s="190">
        <f t="shared" ref="AC176:AC181" si="617">IFERROR((AB176-Y176)/Y176,0)</f>
        <v>0</v>
      </c>
      <c r="AD176" s="83"/>
      <c r="AE176" s="186">
        <f t="shared" ref="AE176:AE181" si="618">AB176+AD176</f>
        <v>0</v>
      </c>
      <c r="AF176" s="190">
        <f t="shared" ref="AF176:AF181" si="619">IFERROR((AE176-AB176)/AB176,0)</f>
        <v>0</v>
      </c>
      <c r="AG176" s="83"/>
      <c r="AH176" s="186">
        <f t="shared" ref="AH176:AH181" si="620">AE176+AG176</f>
        <v>0</v>
      </c>
      <c r="AI176" s="190">
        <f t="shared" ref="AI176:AI181" si="621">IFERROR((AH176-AE176)/AE176,0)</f>
        <v>0</v>
      </c>
      <c r="AJ176" s="83"/>
      <c r="AK176" s="186">
        <f t="shared" ref="AK176:AK181" si="622">AH176+AJ176</f>
        <v>0</v>
      </c>
      <c r="AL176" s="190">
        <f t="shared" ref="AL176:AL181" si="623">IFERROR((AK176-AH176)/AH176,0)</f>
        <v>0</v>
      </c>
      <c r="AM176" s="193">
        <f>X176+AA176+AD176+AG176+AJ176</f>
        <v>0</v>
      </c>
      <c r="AN176" s="192">
        <f>IFERROR((AK176/Y176)^(1/4)-1,0)</f>
        <v>0</v>
      </c>
    </row>
    <row r="177" spans="2:40" outlineLevel="1" x14ac:dyDescent="0.25">
      <c r="B177" s="52" t="s">
        <v>284</v>
      </c>
      <c r="C177" s="64" t="s">
        <v>22</v>
      </c>
      <c r="D177" s="83">
        <v>0</v>
      </c>
      <c r="E177" s="83">
        <v>0</v>
      </c>
      <c r="F177" s="83">
        <v>0</v>
      </c>
      <c r="G177" s="186">
        <f t="shared" si="608"/>
        <v>0</v>
      </c>
      <c r="H177" s="190">
        <f t="shared" si="609"/>
        <v>0</v>
      </c>
      <c r="I177" s="83">
        <v>0</v>
      </c>
      <c r="J177" s="186">
        <f t="shared" si="2"/>
        <v>0</v>
      </c>
      <c r="K177" s="190">
        <f t="shared" si="3"/>
        <v>0</v>
      </c>
      <c r="L177" s="83">
        <v>0</v>
      </c>
      <c r="M177" s="186">
        <f t="shared" si="4"/>
        <v>0</v>
      </c>
      <c r="N177" s="190">
        <f t="shared" si="5"/>
        <v>0</v>
      </c>
      <c r="O177" s="83"/>
      <c r="P177" s="150"/>
      <c r="Q177" s="152"/>
      <c r="R177" s="83"/>
      <c r="S177" s="186">
        <f t="shared" si="610"/>
        <v>0</v>
      </c>
      <c r="T177" s="190">
        <f t="shared" si="611"/>
        <v>0</v>
      </c>
      <c r="U177" s="181">
        <f t="shared" si="612"/>
        <v>0</v>
      </c>
      <c r="V177" s="192">
        <f t="shared" si="613"/>
        <v>0</v>
      </c>
      <c r="X177" s="83"/>
      <c r="Y177" s="186">
        <f t="shared" si="614"/>
        <v>0</v>
      </c>
      <c r="Z177" s="190">
        <f t="shared" si="615"/>
        <v>0</v>
      </c>
      <c r="AA177" s="83"/>
      <c r="AB177" s="186">
        <f t="shared" si="616"/>
        <v>0</v>
      </c>
      <c r="AC177" s="190">
        <f t="shared" si="617"/>
        <v>0</v>
      </c>
      <c r="AD177" s="83"/>
      <c r="AE177" s="186">
        <f t="shared" si="618"/>
        <v>0</v>
      </c>
      <c r="AF177" s="190">
        <f t="shared" si="619"/>
        <v>0</v>
      </c>
      <c r="AG177" s="83"/>
      <c r="AH177" s="186">
        <f t="shared" si="620"/>
        <v>0</v>
      </c>
      <c r="AI177" s="190">
        <f t="shared" si="621"/>
        <v>0</v>
      </c>
      <c r="AJ177" s="83"/>
      <c r="AK177" s="186">
        <f t="shared" si="622"/>
        <v>0</v>
      </c>
      <c r="AL177" s="190">
        <f t="shared" si="623"/>
        <v>0</v>
      </c>
      <c r="AM177" s="181">
        <f t="shared" ref="AM177:AM181" si="624">X177+AA177+AD177+AG177+AJ177</f>
        <v>0</v>
      </c>
      <c r="AN177" s="192">
        <f t="shared" ref="AN177:AN192" si="625">IFERROR((AK177/Y177)^(1/4)-1,0)</f>
        <v>0</v>
      </c>
    </row>
    <row r="178" spans="2:40" outlineLevel="1" x14ac:dyDescent="0.25">
      <c r="B178" s="52" t="s">
        <v>285</v>
      </c>
      <c r="C178" s="64" t="s">
        <v>22</v>
      </c>
      <c r="D178" s="83">
        <v>0</v>
      </c>
      <c r="E178" s="83">
        <v>0</v>
      </c>
      <c r="F178" s="83">
        <v>0</v>
      </c>
      <c r="G178" s="186">
        <f t="shared" si="608"/>
        <v>0</v>
      </c>
      <c r="H178" s="190">
        <f t="shared" si="609"/>
        <v>0</v>
      </c>
      <c r="I178" s="83">
        <v>0</v>
      </c>
      <c r="J178" s="186">
        <f t="shared" si="2"/>
        <v>0</v>
      </c>
      <c r="K178" s="190">
        <f t="shared" si="3"/>
        <v>0</v>
      </c>
      <c r="L178" s="83">
        <v>0</v>
      </c>
      <c r="M178" s="186">
        <f t="shared" si="4"/>
        <v>0</v>
      </c>
      <c r="N178" s="190">
        <f t="shared" si="5"/>
        <v>0</v>
      </c>
      <c r="O178" s="83"/>
      <c r="P178" s="150"/>
      <c r="Q178" s="152"/>
      <c r="R178" s="83"/>
      <c r="S178" s="186">
        <f t="shared" si="610"/>
        <v>0</v>
      </c>
      <c r="T178" s="190">
        <f t="shared" si="611"/>
        <v>0</v>
      </c>
      <c r="U178" s="181">
        <f t="shared" si="612"/>
        <v>0</v>
      </c>
      <c r="V178" s="192">
        <f t="shared" si="613"/>
        <v>0</v>
      </c>
      <c r="X178" s="83"/>
      <c r="Y178" s="186">
        <f t="shared" si="614"/>
        <v>0</v>
      </c>
      <c r="Z178" s="190">
        <f t="shared" si="615"/>
        <v>0</v>
      </c>
      <c r="AA178" s="83"/>
      <c r="AB178" s="186">
        <f t="shared" si="616"/>
        <v>0</v>
      </c>
      <c r="AC178" s="190">
        <f t="shared" si="617"/>
        <v>0</v>
      </c>
      <c r="AD178" s="83"/>
      <c r="AE178" s="186">
        <f t="shared" si="618"/>
        <v>0</v>
      </c>
      <c r="AF178" s="190">
        <f t="shared" si="619"/>
        <v>0</v>
      </c>
      <c r="AG178" s="83"/>
      <c r="AH178" s="186">
        <f t="shared" si="620"/>
        <v>0</v>
      </c>
      <c r="AI178" s="190">
        <f t="shared" si="621"/>
        <v>0</v>
      </c>
      <c r="AJ178" s="83"/>
      <c r="AK178" s="186">
        <f t="shared" si="622"/>
        <v>0</v>
      </c>
      <c r="AL178" s="190">
        <f t="shared" si="623"/>
        <v>0</v>
      </c>
      <c r="AM178" s="181">
        <f t="shared" si="624"/>
        <v>0</v>
      </c>
      <c r="AN178" s="192">
        <f t="shared" si="625"/>
        <v>0</v>
      </c>
    </row>
    <row r="179" spans="2:40" outlineLevel="1" x14ac:dyDescent="0.25">
      <c r="B179" s="52" t="s">
        <v>286</v>
      </c>
      <c r="C179" s="64" t="s">
        <v>22</v>
      </c>
      <c r="D179" s="83">
        <v>0</v>
      </c>
      <c r="E179" s="83">
        <v>0</v>
      </c>
      <c r="F179" s="83">
        <v>0</v>
      </c>
      <c r="G179" s="187">
        <f t="shared" si="608"/>
        <v>0</v>
      </c>
      <c r="H179" s="191">
        <f t="shared" si="609"/>
        <v>0</v>
      </c>
      <c r="I179" s="83">
        <v>0</v>
      </c>
      <c r="J179" s="187">
        <f t="shared" si="2"/>
        <v>0</v>
      </c>
      <c r="K179" s="191">
        <f t="shared" si="3"/>
        <v>0</v>
      </c>
      <c r="L179" s="83">
        <v>0</v>
      </c>
      <c r="M179" s="187">
        <f t="shared" si="4"/>
        <v>0</v>
      </c>
      <c r="N179" s="191">
        <f t="shared" si="5"/>
        <v>0</v>
      </c>
      <c r="O179" s="85"/>
      <c r="P179" s="152"/>
      <c r="Q179" s="152"/>
      <c r="R179" s="85"/>
      <c r="S179" s="186">
        <f t="shared" si="610"/>
        <v>0</v>
      </c>
      <c r="T179" s="191">
        <f t="shared" si="611"/>
        <v>0</v>
      </c>
      <c r="U179" s="181">
        <f t="shared" si="612"/>
        <v>0</v>
      </c>
      <c r="V179" s="192">
        <f t="shared" si="613"/>
        <v>0</v>
      </c>
      <c r="X179" s="85"/>
      <c r="Y179" s="186">
        <f t="shared" si="614"/>
        <v>0</v>
      </c>
      <c r="Z179" s="191">
        <f t="shared" si="615"/>
        <v>0</v>
      </c>
      <c r="AA179" s="85"/>
      <c r="AB179" s="187">
        <f t="shared" si="616"/>
        <v>0</v>
      </c>
      <c r="AC179" s="191">
        <f t="shared" si="617"/>
        <v>0</v>
      </c>
      <c r="AD179" s="85"/>
      <c r="AE179" s="187">
        <f t="shared" si="618"/>
        <v>0</v>
      </c>
      <c r="AF179" s="191">
        <f t="shared" si="619"/>
        <v>0</v>
      </c>
      <c r="AG179" s="85"/>
      <c r="AH179" s="187">
        <f t="shared" si="620"/>
        <v>0</v>
      </c>
      <c r="AI179" s="191">
        <f t="shared" si="621"/>
        <v>0</v>
      </c>
      <c r="AJ179" s="85"/>
      <c r="AK179" s="187">
        <f t="shared" si="622"/>
        <v>0</v>
      </c>
      <c r="AL179" s="191">
        <f t="shared" si="623"/>
        <v>0</v>
      </c>
      <c r="AM179" s="181">
        <f t="shared" si="624"/>
        <v>0</v>
      </c>
      <c r="AN179" s="192">
        <f t="shared" si="625"/>
        <v>0</v>
      </c>
    </row>
    <row r="180" spans="2:40" outlineLevel="1" x14ac:dyDescent="0.25">
      <c r="B180" s="52" t="s">
        <v>287</v>
      </c>
      <c r="C180" s="64" t="s">
        <v>22</v>
      </c>
      <c r="D180" s="83">
        <v>0</v>
      </c>
      <c r="E180" s="83">
        <v>0</v>
      </c>
      <c r="F180" s="83">
        <v>0</v>
      </c>
      <c r="G180" s="187">
        <f t="shared" si="608"/>
        <v>0</v>
      </c>
      <c r="H180" s="191">
        <f t="shared" si="609"/>
        <v>0</v>
      </c>
      <c r="I180" s="83">
        <v>0</v>
      </c>
      <c r="J180" s="187">
        <f t="shared" ref="J180:J181" si="626">G180+I180</f>
        <v>0</v>
      </c>
      <c r="K180" s="191">
        <f t="shared" si="3"/>
        <v>0</v>
      </c>
      <c r="L180" s="83">
        <v>0</v>
      </c>
      <c r="M180" s="187">
        <f t="shared" ref="M180:M181" si="627">J180+L180</f>
        <v>0</v>
      </c>
      <c r="N180" s="191">
        <f t="shared" ref="N180:N181" si="628">IFERROR((M180-J180)/J180,0)</f>
        <v>0</v>
      </c>
      <c r="O180" s="85"/>
      <c r="P180" s="152"/>
      <c r="Q180" s="152"/>
      <c r="R180" s="85"/>
      <c r="S180" s="186">
        <f t="shared" si="610"/>
        <v>0</v>
      </c>
      <c r="T180" s="191">
        <f t="shared" si="611"/>
        <v>0</v>
      </c>
      <c r="U180" s="181">
        <f t="shared" si="612"/>
        <v>0</v>
      </c>
      <c r="V180" s="192">
        <f t="shared" si="613"/>
        <v>0</v>
      </c>
      <c r="X180" s="85"/>
      <c r="Y180" s="186">
        <f t="shared" si="614"/>
        <v>0</v>
      </c>
      <c r="Z180" s="191">
        <f t="shared" si="615"/>
        <v>0</v>
      </c>
      <c r="AA180" s="85"/>
      <c r="AB180" s="187">
        <f t="shared" si="616"/>
        <v>0</v>
      </c>
      <c r="AC180" s="191">
        <f t="shared" si="617"/>
        <v>0</v>
      </c>
      <c r="AD180" s="85"/>
      <c r="AE180" s="187">
        <f t="shared" si="618"/>
        <v>0</v>
      </c>
      <c r="AF180" s="191">
        <f t="shared" si="619"/>
        <v>0</v>
      </c>
      <c r="AG180" s="85"/>
      <c r="AH180" s="187">
        <f t="shared" si="620"/>
        <v>0</v>
      </c>
      <c r="AI180" s="191">
        <f t="shared" si="621"/>
        <v>0</v>
      </c>
      <c r="AJ180" s="85"/>
      <c r="AK180" s="187">
        <f t="shared" si="622"/>
        <v>0</v>
      </c>
      <c r="AL180" s="191">
        <f t="shared" si="623"/>
        <v>0</v>
      </c>
      <c r="AM180" s="181">
        <f t="shared" si="624"/>
        <v>0</v>
      </c>
      <c r="AN180" s="192">
        <f t="shared" si="625"/>
        <v>0</v>
      </c>
    </row>
    <row r="181" spans="2:40" outlineLevel="1" x14ac:dyDescent="0.25">
      <c r="B181" s="52" t="s">
        <v>288</v>
      </c>
      <c r="C181" s="64" t="s">
        <v>22</v>
      </c>
      <c r="D181" s="83">
        <v>0</v>
      </c>
      <c r="E181" s="83">
        <v>0</v>
      </c>
      <c r="F181" s="83">
        <v>0</v>
      </c>
      <c r="G181" s="187">
        <f t="shared" si="608"/>
        <v>0</v>
      </c>
      <c r="H181" s="191">
        <f t="shared" si="609"/>
        <v>0</v>
      </c>
      <c r="I181" s="83">
        <v>0</v>
      </c>
      <c r="J181" s="187">
        <f t="shared" si="626"/>
        <v>0</v>
      </c>
      <c r="K181" s="191">
        <f t="shared" si="3"/>
        <v>0</v>
      </c>
      <c r="L181" s="83">
        <v>0</v>
      </c>
      <c r="M181" s="187">
        <f t="shared" si="627"/>
        <v>0</v>
      </c>
      <c r="N181" s="191">
        <f t="shared" si="628"/>
        <v>0</v>
      </c>
      <c r="O181" s="85"/>
      <c r="P181" s="152"/>
      <c r="Q181" s="152"/>
      <c r="R181" s="85"/>
      <c r="S181" s="186">
        <f t="shared" si="610"/>
        <v>0</v>
      </c>
      <c r="T181" s="191">
        <f t="shared" si="611"/>
        <v>0</v>
      </c>
      <c r="U181" s="181">
        <f t="shared" si="612"/>
        <v>0</v>
      </c>
      <c r="V181" s="192">
        <f t="shared" si="613"/>
        <v>0</v>
      </c>
      <c r="X181" s="85"/>
      <c r="Y181" s="186">
        <f t="shared" si="614"/>
        <v>0</v>
      </c>
      <c r="Z181" s="191">
        <f t="shared" si="615"/>
        <v>0</v>
      </c>
      <c r="AA181" s="85"/>
      <c r="AB181" s="187">
        <f t="shared" si="616"/>
        <v>0</v>
      </c>
      <c r="AC181" s="191">
        <f t="shared" si="617"/>
        <v>0</v>
      </c>
      <c r="AD181" s="85"/>
      <c r="AE181" s="187">
        <f t="shared" si="618"/>
        <v>0</v>
      </c>
      <c r="AF181" s="191">
        <f t="shared" si="619"/>
        <v>0</v>
      </c>
      <c r="AG181" s="85"/>
      <c r="AH181" s="187">
        <f t="shared" si="620"/>
        <v>0</v>
      </c>
      <c r="AI181" s="191">
        <f t="shared" si="621"/>
        <v>0</v>
      </c>
      <c r="AJ181" s="85"/>
      <c r="AK181" s="187">
        <f t="shared" si="622"/>
        <v>0</v>
      </c>
      <c r="AL181" s="191">
        <f t="shared" si="623"/>
        <v>0</v>
      </c>
      <c r="AM181" s="181">
        <f t="shared" si="624"/>
        <v>0</v>
      </c>
      <c r="AN181" s="192">
        <f t="shared" si="625"/>
        <v>0</v>
      </c>
    </row>
    <row r="182" spans="2:40" outlineLevel="1" x14ac:dyDescent="0.25">
      <c r="B182" s="52" t="s">
        <v>289</v>
      </c>
      <c r="C182" s="64" t="s">
        <v>22</v>
      </c>
      <c r="D182" s="83">
        <v>0</v>
      </c>
      <c r="E182" s="83">
        <v>0</v>
      </c>
      <c r="F182" s="83">
        <v>0</v>
      </c>
      <c r="G182" s="187">
        <f t="shared" ref="G182" si="629">E182+F182</f>
        <v>0</v>
      </c>
      <c r="H182" s="191">
        <f t="shared" ref="H182" si="630">IFERROR((G182-E182)/E182,0)</f>
        <v>0</v>
      </c>
      <c r="I182" s="83">
        <v>0</v>
      </c>
      <c r="J182" s="187">
        <f t="shared" ref="J182" si="631">G182+I182</f>
        <v>0</v>
      </c>
      <c r="K182" s="191">
        <f t="shared" ref="K182" si="632">IFERROR((J182-G182)/G182,0)</f>
        <v>0</v>
      </c>
      <c r="L182" s="83">
        <v>0</v>
      </c>
      <c r="M182" s="187">
        <f t="shared" ref="M182" si="633">J182+L182</f>
        <v>0</v>
      </c>
      <c r="N182" s="191">
        <f t="shared" ref="N182" si="634">IFERROR((M182-J182)/J182,0)</f>
        <v>0</v>
      </c>
      <c r="O182" s="85"/>
      <c r="P182" s="152"/>
      <c r="Q182" s="152"/>
      <c r="R182" s="85"/>
      <c r="S182" s="186">
        <f t="shared" ref="S182" si="635">M182+R182</f>
        <v>0</v>
      </c>
      <c r="T182" s="191">
        <f t="shared" ref="T182" si="636">IFERROR((S182-M182)/M182,0)</f>
        <v>0</v>
      </c>
      <c r="U182" s="181">
        <f t="shared" ref="U182" si="637">D182+F182+I182+L182+R182</f>
        <v>0</v>
      </c>
      <c r="V182" s="192">
        <f t="shared" si="613"/>
        <v>0</v>
      </c>
      <c r="X182" s="85"/>
      <c r="Y182" s="186">
        <f t="shared" ref="Y182" si="638">S182+X182</f>
        <v>0</v>
      </c>
      <c r="Z182" s="191">
        <f t="shared" ref="Z182" si="639">IFERROR((Y182-S182)/S182,0)</f>
        <v>0</v>
      </c>
      <c r="AA182" s="85"/>
      <c r="AB182" s="187">
        <f t="shared" ref="AB182" si="640">Y182+AA182</f>
        <v>0</v>
      </c>
      <c r="AC182" s="191">
        <f t="shared" ref="AC182" si="641">IFERROR((AB182-Y182)/Y182,0)</f>
        <v>0</v>
      </c>
      <c r="AD182" s="85"/>
      <c r="AE182" s="187">
        <f t="shared" ref="AE182" si="642">AB182+AD182</f>
        <v>0</v>
      </c>
      <c r="AF182" s="191">
        <f t="shared" ref="AF182" si="643">IFERROR((AE182-AB182)/AB182,0)</f>
        <v>0</v>
      </c>
      <c r="AG182" s="85"/>
      <c r="AH182" s="187">
        <f t="shared" ref="AH182" si="644">AE182+AG182</f>
        <v>0</v>
      </c>
      <c r="AI182" s="191">
        <f t="shared" ref="AI182" si="645">IFERROR((AH182-AE182)/AE182,0)</f>
        <v>0</v>
      </c>
      <c r="AJ182" s="85"/>
      <c r="AK182" s="187">
        <f t="shared" ref="AK182" si="646">AH182+AJ182</f>
        <v>0</v>
      </c>
      <c r="AL182" s="191">
        <f t="shared" ref="AL182" si="647">IFERROR((AK182-AH182)/AH182,0)</f>
        <v>0</v>
      </c>
      <c r="AM182" s="181">
        <f t="shared" ref="AM182" si="648">X182+AA182+AD182+AG182+AJ182</f>
        <v>0</v>
      </c>
      <c r="AN182" s="192">
        <f t="shared" ref="AN182" si="649">IFERROR((AK182/Y182)^(1/4)-1,0)</f>
        <v>0</v>
      </c>
    </row>
    <row r="183" spans="2:40" outlineLevel="1" x14ac:dyDescent="0.25">
      <c r="B183" s="52" t="s">
        <v>290</v>
      </c>
      <c r="C183" s="64" t="s">
        <v>22</v>
      </c>
      <c r="D183" s="83">
        <v>0</v>
      </c>
      <c r="E183" s="83">
        <v>0</v>
      </c>
      <c r="F183" s="83">
        <v>0</v>
      </c>
      <c r="G183" s="187">
        <f t="shared" ref="G183:G184" si="650">E183+F183</f>
        <v>0</v>
      </c>
      <c r="H183" s="191">
        <f t="shared" ref="H183:H190" si="651">IFERROR((G183-E183)/E183,0)</f>
        <v>0</v>
      </c>
      <c r="I183" s="83">
        <v>0</v>
      </c>
      <c r="J183" s="187">
        <f t="shared" ref="J183:J184" si="652">G183+I183</f>
        <v>0</v>
      </c>
      <c r="K183" s="191">
        <f t="shared" ref="K183:K190" si="653">IFERROR((J183-G183)/G183,0)</f>
        <v>0</v>
      </c>
      <c r="L183" s="83">
        <v>0</v>
      </c>
      <c r="M183" s="187">
        <f t="shared" ref="M183:M184" si="654">J183+L183</f>
        <v>0</v>
      </c>
      <c r="N183" s="191">
        <f t="shared" ref="N183:N190" si="655">IFERROR((M183-J183)/J183,0)</f>
        <v>0</v>
      </c>
      <c r="O183" s="85"/>
      <c r="P183" s="152"/>
      <c r="Q183" s="152"/>
      <c r="R183" s="85"/>
      <c r="S183" s="186">
        <f t="shared" ref="S183:S190" si="656">M183+R183</f>
        <v>0</v>
      </c>
      <c r="T183" s="191">
        <f t="shared" ref="T183:T190" si="657">IFERROR((S183-M183)/M183,0)</f>
        <v>0</v>
      </c>
      <c r="U183" s="181">
        <f t="shared" ref="U183:U190" si="658">D183+F183+I183+L183+R183</f>
        <v>0</v>
      </c>
      <c r="V183" s="192">
        <f t="shared" si="613"/>
        <v>0</v>
      </c>
      <c r="X183" s="85"/>
      <c r="Y183" s="186">
        <f t="shared" ref="Y183:Y184" si="659">S183+X183</f>
        <v>0</v>
      </c>
      <c r="Z183" s="191">
        <f t="shared" ref="Z183:Z190" si="660">IFERROR((Y183-S183)/S183,0)</f>
        <v>0</v>
      </c>
      <c r="AA183" s="85"/>
      <c r="AB183" s="187">
        <f t="shared" ref="AB183:AB184" si="661">Y183+AA183</f>
        <v>0</v>
      </c>
      <c r="AC183" s="191">
        <f t="shared" ref="AC183:AC190" si="662">IFERROR((AB183-Y183)/Y183,0)</f>
        <v>0</v>
      </c>
      <c r="AD183" s="85"/>
      <c r="AE183" s="187">
        <f t="shared" ref="AE183:AE184" si="663">AB183+AD183</f>
        <v>0</v>
      </c>
      <c r="AF183" s="191">
        <f t="shared" ref="AF183:AF190" si="664">IFERROR((AE183-AB183)/AB183,0)</f>
        <v>0</v>
      </c>
      <c r="AG183" s="85"/>
      <c r="AH183" s="187">
        <f t="shared" ref="AH183:AH184" si="665">AE183+AG183</f>
        <v>0</v>
      </c>
      <c r="AI183" s="191">
        <f t="shared" ref="AI183:AI190" si="666">IFERROR((AH183-AE183)/AE183,0)</f>
        <v>0</v>
      </c>
      <c r="AJ183" s="85"/>
      <c r="AK183" s="187">
        <f t="shared" ref="AK183:AK184" si="667">AH183+AJ183</f>
        <v>0</v>
      </c>
      <c r="AL183" s="191">
        <f t="shared" ref="AL183:AL190" si="668">IFERROR((AK183-AH183)/AH183,0)</f>
        <v>0</v>
      </c>
      <c r="AM183" s="181">
        <f t="shared" ref="AM183:AM184" si="669">X183+AA183+AD183+AG183+AJ183</f>
        <v>0</v>
      </c>
      <c r="AN183" s="192">
        <f t="shared" ref="AN183:AN190" si="670">IFERROR((AK183/Y183)^(1/4)-1,0)</f>
        <v>0</v>
      </c>
    </row>
    <row r="184" spans="2:40" outlineLevel="1" x14ac:dyDescent="0.25">
      <c r="B184" s="52" t="s">
        <v>291</v>
      </c>
      <c r="C184" s="64" t="s">
        <v>22</v>
      </c>
      <c r="D184" s="83">
        <v>0</v>
      </c>
      <c r="E184" s="83">
        <v>0</v>
      </c>
      <c r="F184" s="83">
        <v>0</v>
      </c>
      <c r="G184" s="187">
        <f t="shared" si="650"/>
        <v>0</v>
      </c>
      <c r="H184" s="191">
        <f t="shared" si="651"/>
        <v>0</v>
      </c>
      <c r="I184" s="83">
        <v>0</v>
      </c>
      <c r="J184" s="187">
        <f t="shared" si="652"/>
        <v>0</v>
      </c>
      <c r="K184" s="191">
        <f t="shared" si="653"/>
        <v>0</v>
      </c>
      <c r="L184" s="83">
        <v>0</v>
      </c>
      <c r="M184" s="187">
        <f t="shared" si="654"/>
        <v>0</v>
      </c>
      <c r="N184" s="191">
        <f t="shared" si="655"/>
        <v>0</v>
      </c>
      <c r="O184" s="85"/>
      <c r="P184" s="152"/>
      <c r="Q184" s="152"/>
      <c r="R184" s="85"/>
      <c r="S184" s="186">
        <f t="shared" si="656"/>
        <v>0</v>
      </c>
      <c r="T184" s="191">
        <f t="shared" si="657"/>
        <v>0</v>
      </c>
      <c r="U184" s="181">
        <f t="shared" si="658"/>
        <v>0</v>
      </c>
      <c r="V184" s="192">
        <f t="shared" si="613"/>
        <v>0</v>
      </c>
      <c r="X184" s="85"/>
      <c r="Y184" s="186">
        <f t="shared" si="659"/>
        <v>0</v>
      </c>
      <c r="Z184" s="191">
        <f t="shared" si="660"/>
        <v>0</v>
      </c>
      <c r="AA184" s="85"/>
      <c r="AB184" s="187">
        <f t="shared" si="661"/>
        <v>0</v>
      </c>
      <c r="AC184" s="191">
        <f t="shared" si="662"/>
        <v>0</v>
      </c>
      <c r="AD184" s="85"/>
      <c r="AE184" s="187">
        <f t="shared" si="663"/>
        <v>0</v>
      </c>
      <c r="AF184" s="191">
        <f t="shared" si="664"/>
        <v>0</v>
      </c>
      <c r="AG184" s="85"/>
      <c r="AH184" s="187">
        <f t="shared" si="665"/>
        <v>0</v>
      </c>
      <c r="AI184" s="191">
        <f t="shared" si="666"/>
        <v>0</v>
      </c>
      <c r="AJ184" s="85"/>
      <c r="AK184" s="187">
        <f t="shared" si="667"/>
        <v>0</v>
      </c>
      <c r="AL184" s="191">
        <f t="shared" si="668"/>
        <v>0</v>
      </c>
      <c r="AM184" s="181">
        <f t="shared" si="669"/>
        <v>0</v>
      </c>
      <c r="AN184" s="192">
        <f t="shared" si="670"/>
        <v>0</v>
      </c>
    </row>
    <row r="185" spans="2:40" outlineLevel="1" x14ac:dyDescent="0.25">
      <c r="B185" s="52" t="s">
        <v>307</v>
      </c>
      <c r="C185" s="64"/>
      <c r="D185" s="83"/>
      <c r="E185" s="83"/>
      <c r="F185" s="83"/>
      <c r="G185" s="187"/>
      <c r="H185" s="191">
        <f t="shared" si="651"/>
        <v>0</v>
      </c>
      <c r="I185" s="83"/>
      <c r="J185" s="187"/>
      <c r="K185" s="191">
        <f t="shared" si="653"/>
        <v>0</v>
      </c>
      <c r="L185" s="83"/>
      <c r="M185" s="187"/>
      <c r="N185" s="191">
        <f t="shared" si="655"/>
        <v>0</v>
      </c>
      <c r="O185" s="85"/>
      <c r="P185" s="152"/>
      <c r="Q185" s="152"/>
      <c r="R185" s="85"/>
      <c r="S185" s="186">
        <f t="shared" si="656"/>
        <v>0</v>
      </c>
      <c r="T185" s="191">
        <f t="shared" si="657"/>
        <v>0</v>
      </c>
      <c r="U185" s="181">
        <f t="shared" si="658"/>
        <v>0</v>
      </c>
      <c r="V185" s="192">
        <f t="shared" si="613"/>
        <v>0</v>
      </c>
      <c r="X185" s="85"/>
      <c r="Y185" s="186"/>
      <c r="Z185" s="191">
        <f t="shared" si="660"/>
        <v>0</v>
      </c>
      <c r="AA185" s="85"/>
      <c r="AB185" s="187"/>
      <c r="AC185" s="191">
        <f t="shared" si="662"/>
        <v>0</v>
      </c>
      <c r="AD185" s="85"/>
      <c r="AE185" s="187"/>
      <c r="AF185" s="191">
        <f t="shared" si="664"/>
        <v>0</v>
      </c>
      <c r="AG185" s="85"/>
      <c r="AH185" s="187"/>
      <c r="AI185" s="191">
        <f t="shared" si="666"/>
        <v>0</v>
      </c>
      <c r="AJ185" s="85"/>
      <c r="AK185" s="187"/>
      <c r="AL185" s="191">
        <f t="shared" si="668"/>
        <v>0</v>
      </c>
      <c r="AM185" s="181"/>
      <c r="AN185" s="192">
        <f t="shared" si="670"/>
        <v>0</v>
      </c>
    </row>
    <row r="186" spans="2:40" outlineLevel="1" x14ac:dyDescent="0.25">
      <c r="B186" s="52" t="s">
        <v>304</v>
      </c>
      <c r="C186" s="64"/>
      <c r="D186" s="83"/>
      <c r="E186" s="83"/>
      <c r="F186" s="83"/>
      <c r="G186" s="187"/>
      <c r="H186" s="191">
        <f t="shared" si="651"/>
        <v>0</v>
      </c>
      <c r="I186" s="83"/>
      <c r="J186" s="187"/>
      <c r="K186" s="191">
        <f t="shared" si="653"/>
        <v>0</v>
      </c>
      <c r="L186" s="83"/>
      <c r="M186" s="187"/>
      <c r="N186" s="191">
        <f t="shared" si="655"/>
        <v>0</v>
      </c>
      <c r="O186" s="85"/>
      <c r="P186" s="152"/>
      <c r="Q186" s="152"/>
      <c r="R186" s="85"/>
      <c r="S186" s="186">
        <f t="shared" si="656"/>
        <v>0</v>
      </c>
      <c r="T186" s="191">
        <f t="shared" si="657"/>
        <v>0</v>
      </c>
      <c r="U186" s="181">
        <f t="shared" si="658"/>
        <v>0</v>
      </c>
      <c r="V186" s="192">
        <f t="shared" si="613"/>
        <v>0</v>
      </c>
      <c r="X186" s="85"/>
      <c r="Y186" s="186"/>
      <c r="Z186" s="191">
        <f t="shared" si="660"/>
        <v>0</v>
      </c>
      <c r="AA186" s="85"/>
      <c r="AB186" s="187"/>
      <c r="AC186" s="191">
        <f t="shared" si="662"/>
        <v>0</v>
      </c>
      <c r="AD186" s="85"/>
      <c r="AE186" s="187"/>
      <c r="AF186" s="191">
        <f t="shared" si="664"/>
        <v>0</v>
      </c>
      <c r="AG186" s="85"/>
      <c r="AH186" s="187"/>
      <c r="AI186" s="191">
        <f t="shared" si="666"/>
        <v>0</v>
      </c>
      <c r="AJ186" s="85"/>
      <c r="AK186" s="187"/>
      <c r="AL186" s="191">
        <f t="shared" si="668"/>
        <v>0</v>
      </c>
      <c r="AM186" s="181"/>
      <c r="AN186" s="192">
        <f t="shared" si="670"/>
        <v>0</v>
      </c>
    </row>
    <row r="187" spans="2:40" outlineLevel="1" x14ac:dyDescent="0.25">
      <c r="B187" s="52" t="s">
        <v>305</v>
      </c>
      <c r="C187" s="64"/>
      <c r="D187" s="83"/>
      <c r="E187" s="83"/>
      <c r="F187" s="83"/>
      <c r="G187" s="187"/>
      <c r="H187" s="191">
        <f t="shared" si="651"/>
        <v>0</v>
      </c>
      <c r="I187" s="83"/>
      <c r="J187" s="187"/>
      <c r="K187" s="191">
        <f t="shared" si="653"/>
        <v>0</v>
      </c>
      <c r="L187" s="83"/>
      <c r="M187" s="187"/>
      <c r="N187" s="191">
        <f t="shared" si="655"/>
        <v>0</v>
      </c>
      <c r="O187" s="85"/>
      <c r="P187" s="152"/>
      <c r="Q187" s="152"/>
      <c r="R187" s="85"/>
      <c r="S187" s="186">
        <f t="shared" si="656"/>
        <v>0</v>
      </c>
      <c r="T187" s="191">
        <f t="shared" si="657"/>
        <v>0</v>
      </c>
      <c r="U187" s="181">
        <f t="shared" si="658"/>
        <v>0</v>
      </c>
      <c r="V187" s="192">
        <f t="shared" si="613"/>
        <v>0</v>
      </c>
      <c r="X187" s="85"/>
      <c r="Y187" s="186"/>
      <c r="Z187" s="191">
        <f t="shared" si="660"/>
        <v>0</v>
      </c>
      <c r="AA187" s="85"/>
      <c r="AB187" s="187"/>
      <c r="AC187" s="191">
        <f t="shared" si="662"/>
        <v>0</v>
      </c>
      <c r="AD187" s="85"/>
      <c r="AE187" s="187"/>
      <c r="AF187" s="191">
        <f t="shared" si="664"/>
        <v>0</v>
      </c>
      <c r="AG187" s="85"/>
      <c r="AH187" s="187"/>
      <c r="AI187" s="191">
        <f t="shared" si="666"/>
        <v>0</v>
      </c>
      <c r="AJ187" s="85"/>
      <c r="AK187" s="187"/>
      <c r="AL187" s="191">
        <f t="shared" si="668"/>
        <v>0</v>
      </c>
      <c r="AM187" s="181"/>
      <c r="AN187" s="192">
        <f t="shared" si="670"/>
        <v>0</v>
      </c>
    </row>
    <row r="188" spans="2:40" outlineLevel="1" x14ac:dyDescent="0.25">
      <c r="B188" s="52" t="s">
        <v>306</v>
      </c>
      <c r="C188" s="64"/>
      <c r="D188" s="83"/>
      <c r="E188" s="83"/>
      <c r="F188" s="83"/>
      <c r="G188" s="187"/>
      <c r="H188" s="191">
        <f t="shared" si="651"/>
        <v>0</v>
      </c>
      <c r="I188" s="83"/>
      <c r="J188" s="187"/>
      <c r="K188" s="191">
        <f t="shared" si="653"/>
        <v>0</v>
      </c>
      <c r="L188" s="83"/>
      <c r="M188" s="187"/>
      <c r="N188" s="191">
        <f t="shared" si="655"/>
        <v>0</v>
      </c>
      <c r="O188" s="85"/>
      <c r="P188" s="152"/>
      <c r="Q188" s="152"/>
      <c r="R188" s="85"/>
      <c r="S188" s="186">
        <f t="shared" si="656"/>
        <v>0</v>
      </c>
      <c r="T188" s="191">
        <f t="shared" si="657"/>
        <v>0</v>
      </c>
      <c r="U188" s="181">
        <f t="shared" si="658"/>
        <v>0</v>
      </c>
      <c r="V188" s="192">
        <f t="shared" si="613"/>
        <v>0</v>
      </c>
      <c r="X188" s="85"/>
      <c r="Y188" s="186"/>
      <c r="Z188" s="191">
        <f t="shared" si="660"/>
        <v>0</v>
      </c>
      <c r="AA188" s="85"/>
      <c r="AB188" s="187"/>
      <c r="AC188" s="191">
        <f t="shared" si="662"/>
        <v>0</v>
      </c>
      <c r="AD188" s="85"/>
      <c r="AE188" s="187"/>
      <c r="AF188" s="191">
        <f t="shared" si="664"/>
        <v>0</v>
      </c>
      <c r="AG188" s="85"/>
      <c r="AH188" s="187"/>
      <c r="AI188" s="191">
        <f t="shared" si="666"/>
        <v>0</v>
      </c>
      <c r="AJ188" s="85"/>
      <c r="AK188" s="187"/>
      <c r="AL188" s="191">
        <f t="shared" si="668"/>
        <v>0</v>
      </c>
      <c r="AM188" s="181"/>
      <c r="AN188" s="192">
        <f t="shared" si="670"/>
        <v>0</v>
      </c>
    </row>
    <row r="189" spans="2:40" outlineLevel="1" x14ac:dyDescent="0.25">
      <c r="B189" s="52" t="s">
        <v>308</v>
      </c>
      <c r="C189" s="64"/>
      <c r="D189" s="83"/>
      <c r="E189" s="83"/>
      <c r="F189" s="83"/>
      <c r="G189" s="187"/>
      <c r="H189" s="191">
        <f t="shared" si="651"/>
        <v>0</v>
      </c>
      <c r="I189" s="83"/>
      <c r="J189" s="187"/>
      <c r="K189" s="191">
        <f t="shared" si="653"/>
        <v>0</v>
      </c>
      <c r="L189" s="83"/>
      <c r="M189" s="187"/>
      <c r="N189" s="191">
        <f t="shared" si="655"/>
        <v>0</v>
      </c>
      <c r="O189" s="85"/>
      <c r="P189" s="152"/>
      <c r="Q189" s="152"/>
      <c r="R189" s="85"/>
      <c r="S189" s="186">
        <f t="shared" si="656"/>
        <v>0</v>
      </c>
      <c r="T189" s="191">
        <f t="shared" si="657"/>
        <v>0</v>
      </c>
      <c r="U189" s="181">
        <f t="shared" si="658"/>
        <v>0</v>
      </c>
      <c r="V189" s="192">
        <f t="shared" si="613"/>
        <v>0</v>
      </c>
      <c r="X189" s="85"/>
      <c r="Y189" s="186"/>
      <c r="Z189" s="191">
        <f t="shared" si="660"/>
        <v>0</v>
      </c>
      <c r="AA189" s="85"/>
      <c r="AB189" s="187"/>
      <c r="AC189" s="191">
        <f t="shared" si="662"/>
        <v>0</v>
      </c>
      <c r="AD189" s="85"/>
      <c r="AE189" s="187"/>
      <c r="AF189" s="191">
        <f t="shared" si="664"/>
        <v>0</v>
      </c>
      <c r="AG189" s="85"/>
      <c r="AH189" s="187"/>
      <c r="AI189" s="191">
        <f t="shared" si="666"/>
        <v>0</v>
      </c>
      <c r="AJ189" s="85"/>
      <c r="AK189" s="187"/>
      <c r="AL189" s="191">
        <f t="shared" si="668"/>
        <v>0</v>
      </c>
      <c r="AM189" s="181"/>
      <c r="AN189" s="192">
        <f t="shared" si="670"/>
        <v>0</v>
      </c>
    </row>
    <row r="190" spans="2:40" outlineLevel="1" x14ac:dyDescent="0.25">
      <c r="B190" s="52"/>
      <c r="C190" s="64"/>
      <c r="D190" s="83"/>
      <c r="E190" s="83"/>
      <c r="F190" s="83"/>
      <c r="G190" s="187"/>
      <c r="H190" s="191">
        <f t="shared" si="651"/>
        <v>0</v>
      </c>
      <c r="I190" s="83"/>
      <c r="J190" s="187"/>
      <c r="K190" s="191">
        <f t="shared" si="653"/>
        <v>0</v>
      </c>
      <c r="L190" s="83"/>
      <c r="M190" s="187"/>
      <c r="N190" s="191">
        <f t="shared" si="655"/>
        <v>0</v>
      </c>
      <c r="O190" s="85"/>
      <c r="P190" s="152"/>
      <c r="Q190" s="152"/>
      <c r="R190" s="85"/>
      <c r="S190" s="186">
        <f t="shared" si="656"/>
        <v>0</v>
      </c>
      <c r="T190" s="191">
        <f t="shared" si="657"/>
        <v>0</v>
      </c>
      <c r="U190" s="181">
        <f t="shared" si="658"/>
        <v>0</v>
      </c>
      <c r="V190" s="192">
        <f t="shared" si="613"/>
        <v>0</v>
      </c>
      <c r="X190" s="85"/>
      <c r="Y190" s="186"/>
      <c r="Z190" s="191">
        <f t="shared" si="660"/>
        <v>0</v>
      </c>
      <c r="AA190" s="85"/>
      <c r="AB190" s="187"/>
      <c r="AC190" s="191">
        <f t="shared" si="662"/>
        <v>0</v>
      </c>
      <c r="AD190" s="85"/>
      <c r="AE190" s="187"/>
      <c r="AF190" s="191">
        <f t="shared" si="664"/>
        <v>0</v>
      </c>
      <c r="AG190" s="85"/>
      <c r="AH190" s="187"/>
      <c r="AI190" s="191">
        <f t="shared" si="666"/>
        <v>0</v>
      </c>
      <c r="AJ190" s="85"/>
      <c r="AK190" s="187"/>
      <c r="AL190" s="191">
        <f t="shared" si="668"/>
        <v>0</v>
      </c>
      <c r="AM190" s="181"/>
      <c r="AN190" s="192">
        <f t="shared" si="670"/>
        <v>0</v>
      </c>
    </row>
    <row r="191" spans="2:40" outlineLevel="1" x14ac:dyDescent="0.25">
      <c r="B191" s="349" t="s">
        <v>90</v>
      </c>
      <c r="C191" s="350"/>
      <c r="D191" s="350"/>
      <c r="E191" s="350"/>
      <c r="F191" s="350"/>
      <c r="G191" s="350"/>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1"/>
    </row>
    <row r="192" spans="2:40" outlineLevel="1" x14ac:dyDescent="0.25">
      <c r="B192" s="52" t="s">
        <v>82</v>
      </c>
      <c r="C192" s="49" t="s">
        <v>22</v>
      </c>
      <c r="D192" s="188">
        <f>SUM(D176:D190)</f>
        <v>0</v>
      </c>
      <c r="E192" s="189">
        <f>SUM(E176:E190)</f>
        <v>0</v>
      </c>
      <c r="F192" s="188">
        <f>SUM(F176:F190)</f>
        <v>0</v>
      </c>
      <c r="G192" s="187">
        <f>SUM(G176:G190)</f>
        <v>0</v>
      </c>
      <c r="H192" s="191">
        <f>IFERROR((G192-E192)/E192,0)</f>
        <v>0</v>
      </c>
      <c r="I192" s="188">
        <f>SUM(I176:I190)</f>
        <v>0</v>
      </c>
      <c r="J192" s="187">
        <f>SUM(J176:J190)</f>
        <v>0</v>
      </c>
      <c r="K192" s="191">
        <f t="shared" si="3"/>
        <v>0</v>
      </c>
      <c r="L192" s="188">
        <f>SUM(L176:L190)</f>
        <v>0</v>
      </c>
      <c r="M192" s="187">
        <f>SUM(M176:M190)</f>
        <v>0</v>
      </c>
      <c r="N192" s="191">
        <f t="shared" ref="N192" si="671">IFERROR((M192-J192)/J192,0)</f>
        <v>0</v>
      </c>
      <c r="O192" s="188">
        <f>SUM(O176:O190)</f>
        <v>0</v>
      </c>
      <c r="P192" s="152"/>
      <c r="Q192" s="152"/>
      <c r="R192" s="188">
        <f>SUM(R176:R190)</f>
        <v>0</v>
      </c>
      <c r="S192" s="187">
        <f>M192+R192</f>
        <v>0</v>
      </c>
      <c r="T192" s="191">
        <f>IFERROR((S192-M192)/M192,0)</f>
        <v>0</v>
      </c>
      <c r="U192" s="181">
        <f>D192+F192+I192+L192+R192</f>
        <v>0</v>
      </c>
      <c r="V192" s="192">
        <f>IFERROR((S192/E192)^(1/4)-1,0)</f>
        <v>0</v>
      </c>
      <c r="X192" s="188">
        <f>SUM(X176:X190)</f>
        <v>0</v>
      </c>
      <c r="Y192" s="187">
        <f>SUM(Y176:Y190)</f>
        <v>0</v>
      </c>
      <c r="Z192" s="191">
        <f>IFERROR((Y192-S192)/S192,0)</f>
        <v>0</v>
      </c>
      <c r="AA192" s="188">
        <f>SUM(AA176:AA190)</f>
        <v>0</v>
      </c>
      <c r="AB192" s="187">
        <f>SUM(AB176:AB190)</f>
        <v>0</v>
      </c>
      <c r="AC192" s="191">
        <f t="shared" ref="AC192" si="672">IFERROR((AB192-Y192)/Y192,0)</f>
        <v>0</v>
      </c>
      <c r="AD192" s="188">
        <f>SUM(AD176:AD190)</f>
        <v>0</v>
      </c>
      <c r="AE192" s="187">
        <f>SUM(AE176:AE190)</f>
        <v>0</v>
      </c>
      <c r="AF192" s="191">
        <f t="shared" ref="AF192" si="673">IFERROR((AE192-AB192)/AB192,0)</f>
        <v>0</v>
      </c>
      <c r="AG192" s="188">
        <f>SUM(AG176:AG190)</f>
        <v>0</v>
      </c>
      <c r="AH192" s="187">
        <f>SUM(AH176:AH190)</f>
        <v>0</v>
      </c>
      <c r="AI192" s="191">
        <f t="shared" ref="AI192" si="674">IFERROR((AH192-AE192)/AE192,0)</f>
        <v>0</v>
      </c>
      <c r="AJ192" s="188">
        <f>SUM(AJ176:AJ190)</f>
        <v>0</v>
      </c>
      <c r="AK192" s="187">
        <f>SUM(AK176:AK190)</f>
        <v>0</v>
      </c>
      <c r="AL192" s="191">
        <f t="shared" ref="AL192" si="675">IFERROR((AK192-AH192)/AH192,0)</f>
        <v>0</v>
      </c>
      <c r="AM192" s="187">
        <f>SUM(AM176:AM190)</f>
        <v>0</v>
      </c>
      <c r="AN192" s="192">
        <f t="shared" si="625"/>
        <v>0</v>
      </c>
    </row>
  </sheetData>
  <mergeCells count="164">
    <mergeCell ref="D173:Q173"/>
    <mergeCell ref="X173:AN173"/>
    <mergeCell ref="AJ151:AL151"/>
    <mergeCell ref="AM151:AN151"/>
    <mergeCell ref="AJ174:AL174"/>
    <mergeCell ref="AM174:AN174"/>
    <mergeCell ref="D174:E174"/>
    <mergeCell ref="F174:H174"/>
    <mergeCell ref="I174:K174"/>
    <mergeCell ref="L174:N174"/>
    <mergeCell ref="O174:Q174"/>
    <mergeCell ref="X174:Z174"/>
    <mergeCell ref="AA174:AC174"/>
    <mergeCell ref="AD174:AF174"/>
    <mergeCell ref="AG174:AI174"/>
    <mergeCell ref="X81:AN81"/>
    <mergeCell ref="D82:E82"/>
    <mergeCell ref="F82:H82"/>
    <mergeCell ref="I82:K82"/>
    <mergeCell ref="L82:N82"/>
    <mergeCell ref="O82:Q82"/>
    <mergeCell ref="X82:Z82"/>
    <mergeCell ref="AA82:AC82"/>
    <mergeCell ref="AD82:AF82"/>
    <mergeCell ref="AG82:AI82"/>
    <mergeCell ref="AJ82:AL82"/>
    <mergeCell ref="AM82:AN82"/>
    <mergeCell ref="R82:T82"/>
    <mergeCell ref="D81:Q81"/>
    <mergeCell ref="AJ36:AL36"/>
    <mergeCell ref="AM36:AN36"/>
    <mergeCell ref="D58:Q58"/>
    <mergeCell ref="X58:AN58"/>
    <mergeCell ref="D59:E59"/>
    <mergeCell ref="F59:H59"/>
    <mergeCell ref="I59:K59"/>
    <mergeCell ref="L59:N59"/>
    <mergeCell ref="O59:Q59"/>
    <mergeCell ref="X59:Z59"/>
    <mergeCell ref="AA59:AC59"/>
    <mergeCell ref="AD59:AF59"/>
    <mergeCell ref="AG59:AI59"/>
    <mergeCell ref="AJ59:AL59"/>
    <mergeCell ref="AM59:AN59"/>
    <mergeCell ref="D36:E36"/>
    <mergeCell ref="F36:H36"/>
    <mergeCell ref="I36:K36"/>
    <mergeCell ref="L36:N36"/>
    <mergeCell ref="O36:Q36"/>
    <mergeCell ref="X36:Z36"/>
    <mergeCell ref="AA36:AC36"/>
    <mergeCell ref="AD36:AF36"/>
    <mergeCell ref="AG36:AI36"/>
    <mergeCell ref="D11:Q11"/>
    <mergeCell ref="R11:T11"/>
    <mergeCell ref="X11:AN11"/>
    <mergeCell ref="B11:B13"/>
    <mergeCell ref="C11:C13"/>
    <mergeCell ref="U11:V12"/>
    <mergeCell ref="D35:Q35"/>
    <mergeCell ref="X35:AN35"/>
    <mergeCell ref="R174:T174"/>
    <mergeCell ref="U35:V36"/>
    <mergeCell ref="U58:V59"/>
    <mergeCell ref="U81:V82"/>
    <mergeCell ref="U104:V105"/>
    <mergeCell ref="U127:V128"/>
    <mergeCell ref="U150:V151"/>
    <mergeCell ref="U173:V174"/>
    <mergeCell ref="R127:T127"/>
    <mergeCell ref="R150:T150"/>
    <mergeCell ref="C58:C60"/>
    <mergeCell ref="R58:T58"/>
    <mergeCell ref="R59:T59"/>
    <mergeCell ref="B81:B83"/>
    <mergeCell ref="C81:C83"/>
    <mergeCell ref="R81:T81"/>
    <mergeCell ref="B5:I5"/>
    <mergeCell ref="J2:L2"/>
    <mergeCell ref="AA12:AC12"/>
    <mergeCell ref="AD12:AF12"/>
    <mergeCell ref="AG12:AI12"/>
    <mergeCell ref="AJ12:AL12"/>
    <mergeCell ref="R103:T103"/>
    <mergeCell ref="B102:AN102"/>
    <mergeCell ref="B79:AN79"/>
    <mergeCell ref="B56:AN56"/>
    <mergeCell ref="B33:AN33"/>
    <mergeCell ref="AM12:AN12"/>
    <mergeCell ref="D12:E12"/>
    <mergeCell ref="F12:H12"/>
    <mergeCell ref="I12:K12"/>
    <mergeCell ref="L12:N12"/>
    <mergeCell ref="O12:Q12"/>
    <mergeCell ref="X12:Z12"/>
    <mergeCell ref="R12:T12"/>
    <mergeCell ref="R35:T35"/>
    <mergeCell ref="B35:B37"/>
    <mergeCell ref="C35:C37"/>
    <mergeCell ref="R36:T36"/>
    <mergeCell ref="B58:B60"/>
    <mergeCell ref="B104:B106"/>
    <mergeCell ref="C104:C106"/>
    <mergeCell ref="R104:T104"/>
    <mergeCell ref="R105:T105"/>
    <mergeCell ref="D104:Q104"/>
    <mergeCell ref="X104:AN104"/>
    <mergeCell ref="D105:E105"/>
    <mergeCell ref="F105:H105"/>
    <mergeCell ref="I105:K105"/>
    <mergeCell ref="L105:N105"/>
    <mergeCell ref="O105:Q105"/>
    <mergeCell ref="X105:Z105"/>
    <mergeCell ref="AA105:AC105"/>
    <mergeCell ref="AD105:AF105"/>
    <mergeCell ref="AG105:AI105"/>
    <mergeCell ref="AJ105:AL105"/>
    <mergeCell ref="AM105:AN105"/>
    <mergeCell ref="D127:Q127"/>
    <mergeCell ref="X127:AN127"/>
    <mergeCell ref="D128:E128"/>
    <mergeCell ref="F128:H128"/>
    <mergeCell ref="I128:K128"/>
    <mergeCell ref="D151:E151"/>
    <mergeCell ref="F151:H151"/>
    <mergeCell ref="I151:K151"/>
    <mergeCell ref="L151:N151"/>
    <mergeCell ref="O151:Q151"/>
    <mergeCell ref="X151:Z151"/>
    <mergeCell ref="AA151:AC151"/>
    <mergeCell ref="AD151:AF151"/>
    <mergeCell ref="AG151:AI151"/>
    <mergeCell ref="L128:N128"/>
    <mergeCell ref="O128:Q128"/>
    <mergeCell ref="X128:Z128"/>
    <mergeCell ref="AA128:AC128"/>
    <mergeCell ref="AD128:AF128"/>
    <mergeCell ref="AG128:AI128"/>
    <mergeCell ref="AJ128:AL128"/>
    <mergeCell ref="AM128:AN128"/>
    <mergeCell ref="B191:AN191"/>
    <mergeCell ref="B171:AN171"/>
    <mergeCell ref="B173:B175"/>
    <mergeCell ref="C173:C175"/>
    <mergeCell ref="B168:AN168"/>
    <mergeCell ref="R173:T173"/>
    <mergeCell ref="C2:H2"/>
    <mergeCell ref="B9:AN9"/>
    <mergeCell ref="B29:AN29"/>
    <mergeCell ref="B53:AN53"/>
    <mergeCell ref="B76:AN76"/>
    <mergeCell ref="B99:AN99"/>
    <mergeCell ref="B122:AN122"/>
    <mergeCell ref="B145:AN145"/>
    <mergeCell ref="B148:AN148"/>
    <mergeCell ref="B125:AN125"/>
    <mergeCell ref="B127:B129"/>
    <mergeCell ref="C127:C129"/>
    <mergeCell ref="R128:T128"/>
    <mergeCell ref="B150:B152"/>
    <mergeCell ref="C150:C152"/>
    <mergeCell ref="R151:T151"/>
    <mergeCell ref="D150:Q150"/>
    <mergeCell ref="X150:AN150"/>
  </mergeCells>
  <hyperlinks>
    <hyperlink ref="J2" location="'Αρχική σελίδα'!A1" display="Πίσω στην αρχική σελίδα" xr:uid="{E9DC5E92-1C66-4376-BCDF-456BE1D74828}"/>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sheetPr>
  <dimension ref="B2:AN171"/>
  <sheetViews>
    <sheetView showGridLines="0" topLeftCell="I49" zoomScale="55" zoomScaleNormal="55" workbookViewId="0">
      <selection activeCell="Q75" sqref="Q75"/>
    </sheetView>
  </sheetViews>
  <sheetFormatPr defaultRowHeight="15" outlineLevelRow="1" x14ac:dyDescent="0.25"/>
  <cols>
    <col min="1" max="1" width="2.85546875" customWidth="1"/>
    <col min="2" max="2" width="28.28515625" customWidth="1"/>
    <col min="3" max="13" width="13.7109375" customWidth="1"/>
    <col min="14" max="14" width="21.7109375" customWidth="1"/>
    <col min="15" max="21" width="13.7109375" customWidth="1"/>
    <col min="22" max="22" width="18.7109375" customWidth="1"/>
    <col min="23" max="23" width="1.7109375" customWidth="1"/>
    <col min="24" max="34" width="13.7109375" customWidth="1"/>
    <col min="35" max="35" width="12.85546875" customWidth="1"/>
    <col min="36" max="39" width="13.7109375" customWidth="1"/>
    <col min="40" max="40" width="18.7109375" customWidth="1"/>
  </cols>
  <sheetData>
    <row r="2" spans="2:40" ht="18.75" x14ac:dyDescent="0.3">
      <c r="B2" s="1" t="s">
        <v>1</v>
      </c>
      <c r="C2" s="353" t="str">
        <f>'Αρχική σελίδα'!C3</f>
        <v>HENGAS</v>
      </c>
      <c r="D2" s="353"/>
      <c r="E2" s="353"/>
      <c r="F2" s="353"/>
      <c r="G2" s="353"/>
      <c r="H2" s="110"/>
      <c r="J2" s="354" t="s">
        <v>213</v>
      </c>
      <c r="K2" s="354"/>
      <c r="L2" s="354"/>
    </row>
    <row r="3" spans="2:40" ht="18.75" x14ac:dyDescent="0.3">
      <c r="B3" s="2" t="s">
        <v>2</v>
      </c>
      <c r="C3" s="111">
        <f>'Αρχική σελίδα'!C4</f>
        <v>2023</v>
      </c>
      <c r="D3" s="48" t="s">
        <v>0</v>
      </c>
      <c r="E3" s="48">
        <f>C3+4</f>
        <v>2027</v>
      </c>
    </row>
    <row r="4" spans="2:40" ht="14.45" customHeight="1" x14ac:dyDescent="0.3">
      <c r="C4" s="2"/>
      <c r="D4" s="48"/>
      <c r="E4" s="48"/>
    </row>
    <row r="5" spans="2:40" ht="56.45" customHeight="1" x14ac:dyDescent="0.25">
      <c r="B5" s="355" t="s">
        <v>246</v>
      </c>
      <c r="C5" s="355"/>
      <c r="D5" s="355"/>
      <c r="E5" s="355"/>
      <c r="F5" s="355"/>
      <c r="G5" s="355"/>
      <c r="H5" s="355"/>
      <c r="I5" s="355"/>
    </row>
    <row r="6" spans="2:40" x14ac:dyDescent="0.25">
      <c r="B6" s="271"/>
      <c r="C6" s="271"/>
      <c r="D6" s="271"/>
      <c r="E6" s="271"/>
      <c r="F6" s="271"/>
      <c r="G6" s="271"/>
      <c r="H6" s="271"/>
    </row>
    <row r="7" spans="2:40" ht="18.75" x14ac:dyDescent="0.3">
      <c r="B7" s="112"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(2018 - 2022) και εξέλιξη σύμφωνα με το Πρόγραμμα Ανάπτυξης  2023 - 2027</v>
      </c>
      <c r="C7" s="113"/>
      <c r="D7" s="113"/>
      <c r="E7" s="113"/>
      <c r="F7" s="113"/>
      <c r="G7" s="113"/>
      <c r="H7" s="113"/>
      <c r="I7" s="113"/>
      <c r="J7" s="114"/>
      <c r="K7" s="110"/>
      <c r="L7" s="110"/>
    </row>
    <row r="8" spans="2:40" ht="18.75" x14ac:dyDescent="0.3">
      <c r="B8" s="276"/>
      <c r="C8" s="57"/>
      <c r="D8" s="57"/>
      <c r="E8" s="57"/>
      <c r="F8" s="57"/>
      <c r="G8" s="57"/>
      <c r="H8" s="57"/>
      <c r="I8" s="57"/>
      <c r="J8" s="23"/>
    </row>
    <row r="9" spans="2:40" ht="15.75" x14ac:dyDescent="0.25">
      <c r="B9" s="352" t="s">
        <v>11</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row>
    <row r="10" spans="2:40"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2:40" outlineLevel="1" x14ac:dyDescent="0.25">
      <c r="B11" s="400"/>
      <c r="C11" s="385" t="s">
        <v>20</v>
      </c>
      <c r="D11" s="372" t="s">
        <v>262</v>
      </c>
      <c r="E11" s="373"/>
      <c r="F11" s="373"/>
      <c r="G11" s="373"/>
      <c r="H11" s="373"/>
      <c r="I11" s="373"/>
      <c r="J11" s="373"/>
      <c r="K11" s="373"/>
      <c r="L11" s="373"/>
      <c r="M11" s="373"/>
      <c r="N11" s="373"/>
      <c r="O11" s="373"/>
      <c r="P11" s="373"/>
      <c r="Q11" s="374"/>
      <c r="R11" s="372" t="s">
        <v>277</v>
      </c>
      <c r="S11" s="373"/>
      <c r="T11" s="374"/>
      <c r="U11" s="388" t="str">
        <f xml:space="preserve"> D12&amp;" - "&amp;R12</f>
        <v>2018 - 2022</v>
      </c>
      <c r="V11" s="398"/>
      <c r="X11" s="372" t="s">
        <v>263</v>
      </c>
      <c r="Y11" s="373"/>
      <c r="Z11" s="373"/>
      <c r="AA11" s="373"/>
      <c r="AB11" s="373"/>
      <c r="AC11" s="373"/>
      <c r="AD11" s="373"/>
      <c r="AE11" s="373"/>
      <c r="AF11" s="373"/>
      <c r="AG11" s="373"/>
      <c r="AH11" s="373"/>
      <c r="AI11" s="373"/>
      <c r="AJ11" s="373"/>
      <c r="AK11" s="373"/>
      <c r="AL11" s="373"/>
      <c r="AM11" s="373"/>
      <c r="AN11" s="374"/>
    </row>
    <row r="12" spans="2:40" outlineLevel="1" x14ac:dyDescent="0.25">
      <c r="B12" s="401"/>
      <c r="C12" s="386"/>
      <c r="D12" s="372">
        <f>$C$3-5</f>
        <v>2018</v>
      </c>
      <c r="E12" s="374"/>
      <c r="F12" s="373">
        <f>$C$3-4</f>
        <v>2019</v>
      </c>
      <c r="G12" s="373"/>
      <c r="H12" s="373"/>
      <c r="I12" s="372">
        <f>$C$3-3</f>
        <v>2020</v>
      </c>
      <c r="J12" s="373"/>
      <c r="K12" s="374"/>
      <c r="L12" s="372">
        <f>$C$3-2</f>
        <v>2021</v>
      </c>
      <c r="M12" s="373"/>
      <c r="N12" s="374"/>
      <c r="O12" s="372" t="str">
        <f>$C$3-1&amp;""&amp;" ("&amp;"Σεπτ"&amp;")"</f>
        <v>2022 (Σεπτ)</v>
      </c>
      <c r="P12" s="373"/>
      <c r="Q12" s="374"/>
      <c r="R12" s="372">
        <f>$C$3-1</f>
        <v>2022</v>
      </c>
      <c r="S12" s="373"/>
      <c r="T12" s="374"/>
      <c r="U12" s="390"/>
      <c r="V12" s="399"/>
      <c r="X12" s="372">
        <f>$C$3</f>
        <v>2023</v>
      </c>
      <c r="Y12" s="373"/>
      <c r="Z12" s="374"/>
      <c r="AA12" s="373">
        <f>$C$3+1</f>
        <v>2024</v>
      </c>
      <c r="AB12" s="373"/>
      <c r="AC12" s="373"/>
      <c r="AD12" s="372">
        <f>$C$3+2</f>
        <v>2025</v>
      </c>
      <c r="AE12" s="373"/>
      <c r="AF12" s="374"/>
      <c r="AG12" s="373">
        <f>$C$3+3</f>
        <v>2026</v>
      </c>
      <c r="AH12" s="373"/>
      <c r="AI12" s="373"/>
      <c r="AJ12" s="372">
        <f>$C$3+4</f>
        <v>2027</v>
      </c>
      <c r="AK12" s="373"/>
      <c r="AL12" s="374"/>
      <c r="AM12" s="376" t="str">
        <f>X12&amp;" - "&amp;AJ12</f>
        <v>2023 - 2027</v>
      </c>
      <c r="AN12" s="392"/>
    </row>
    <row r="13" spans="2:40" ht="30" outlineLevel="1" x14ac:dyDescent="0.25">
      <c r="B13" s="402"/>
      <c r="C13" s="387"/>
      <c r="D13" s="67" t="s">
        <v>6</v>
      </c>
      <c r="E13" s="68" t="s">
        <v>7</v>
      </c>
      <c r="F13" s="78" t="s">
        <v>6</v>
      </c>
      <c r="G13" s="9" t="s">
        <v>7</v>
      </c>
      <c r="H13" s="68" t="s">
        <v>81</v>
      </c>
      <c r="I13" s="78" t="s">
        <v>6</v>
      </c>
      <c r="J13" s="9" t="s">
        <v>7</v>
      </c>
      <c r="K13" s="68" t="s">
        <v>81</v>
      </c>
      <c r="L13" s="78" t="s">
        <v>6</v>
      </c>
      <c r="M13" s="9" t="s">
        <v>7</v>
      </c>
      <c r="N13" s="68" t="s">
        <v>81</v>
      </c>
      <c r="O13" s="78" t="s">
        <v>6</v>
      </c>
      <c r="P13" s="9" t="s">
        <v>7</v>
      </c>
      <c r="Q13" s="68" t="s">
        <v>81</v>
      </c>
      <c r="R13" s="78" t="s">
        <v>6</v>
      </c>
      <c r="S13" s="9" t="s">
        <v>7</v>
      </c>
      <c r="T13" s="68" t="s">
        <v>81</v>
      </c>
      <c r="U13" s="67" t="s">
        <v>17</v>
      </c>
      <c r="V13" s="132" t="s">
        <v>83</v>
      </c>
      <c r="X13" s="67" t="s">
        <v>6</v>
      </c>
      <c r="Y13" s="9" t="s">
        <v>7</v>
      </c>
      <c r="Z13" s="68" t="s">
        <v>81</v>
      </c>
      <c r="AA13" s="78" t="s">
        <v>6</v>
      </c>
      <c r="AB13" s="9" t="s">
        <v>7</v>
      </c>
      <c r="AC13" s="68" t="s">
        <v>81</v>
      </c>
      <c r="AD13" s="78" t="s">
        <v>6</v>
      </c>
      <c r="AE13" s="9" t="s">
        <v>7</v>
      </c>
      <c r="AF13" s="68" t="s">
        <v>81</v>
      </c>
      <c r="AG13" s="78" t="s">
        <v>6</v>
      </c>
      <c r="AH13" s="9" t="s">
        <v>7</v>
      </c>
      <c r="AI13" s="68" t="s">
        <v>81</v>
      </c>
      <c r="AJ13" s="78" t="s">
        <v>6</v>
      </c>
      <c r="AK13" s="9" t="s">
        <v>7</v>
      </c>
      <c r="AL13" s="68" t="s">
        <v>81</v>
      </c>
      <c r="AM13" s="78" t="s">
        <v>17</v>
      </c>
      <c r="AN13" s="132" t="s">
        <v>83</v>
      </c>
    </row>
    <row r="14" spans="2:40" outlineLevel="1" x14ac:dyDescent="0.25">
      <c r="B14" s="281" t="s">
        <v>283</v>
      </c>
      <c r="C14" s="64" t="s">
        <v>22</v>
      </c>
      <c r="D14" s="188">
        <f t="shared" ref="D14:F17" si="0">D38+D62+D86+D109+D132+D155</f>
        <v>0</v>
      </c>
      <c r="E14" s="189">
        <f t="shared" si="0"/>
        <v>0</v>
      </c>
      <c r="F14" s="209">
        <f t="shared" si="0"/>
        <v>0</v>
      </c>
      <c r="G14" s="186">
        <f t="shared" ref="G14:G17" si="1">E14+F14</f>
        <v>0</v>
      </c>
      <c r="H14" s="210">
        <f t="shared" ref="H14:H17" si="2">IFERROR((G14-E14)/E14,0)</f>
        <v>0</v>
      </c>
      <c r="I14" s="188">
        <f>I38+I62+I86+I109+I132+I155</f>
        <v>0</v>
      </c>
      <c r="J14" s="186">
        <f>G14+I14</f>
        <v>0</v>
      </c>
      <c r="K14" s="190">
        <f>IFERROR((J14-G14)/G14,0)</f>
        <v>0</v>
      </c>
      <c r="L14" s="209">
        <f>L38+L62+L86+L109+L132+L155</f>
        <v>0</v>
      </c>
      <c r="M14" s="186">
        <f>J14+L14</f>
        <v>0</v>
      </c>
      <c r="N14" s="210">
        <f>IFERROR((M14-J14)/J14,0)</f>
        <v>0</v>
      </c>
      <c r="O14" s="188">
        <f>O38+O62+O86+O109+O132+O155-O62</f>
        <v>30</v>
      </c>
      <c r="P14" s="150"/>
      <c r="Q14" s="153"/>
      <c r="R14" s="188">
        <f>R38+R62+R86+R109+R132+R155-R62</f>
        <v>30</v>
      </c>
      <c r="S14" s="186">
        <f>M14+R14</f>
        <v>30</v>
      </c>
      <c r="T14" s="190">
        <f>IFERROR((S14-M14)/M14,0)</f>
        <v>0</v>
      </c>
      <c r="U14" s="198">
        <f t="shared" ref="U14:U17" si="3">D14+F14+I14+L14+R14</f>
        <v>30</v>
      </c>
      <c r="V14" s="199">
        <f t="shared" ref="V14:V17" si="4">IFERROR((S14/E14)^(1/4)-1,0)</f>
        <v>0</v>
      </c>
      <c r="X14" s="188">
        <f t="shared" ref="X14:Y22" si="5">X38+X86+X109+X132+X155</f>
        <v>153</v>
      </c>
      <c r="Y14" s="187">
        <f t="shared" si="5"/>
        <v>183</v>
      </c>
      <c r="Z14" s="190">
        <f t="shared" ref="Z14:Z17" si="6">IFERROR((Y14-S14)/S14,0)</f>
        <v>5.0999999999999996</v>
      </c>
      <c r="AA14" s="209">
        <f t="shared" ref="AA14:AA27" si="7">AA38+AA86+AA109+AA132+AA155</f>
        <v>210</v>
      </c>
      <c r="AB14" s="186">
        <f>Y14+AA14</f>
        <v>393</v>
      </c>
      <c r="AC14" s="210">
        <f>IFERROR((AB14-Y14)/Y14,0)</f>
        <v>1.1475409836065573</v>
      </c>
      <c r="AD14" s="188">
        <f t="shared" ref="AD14:AD27" si="8">AD38+AD86+AD109+AD132+AD155</f>
        <v>105</v>
      </c>
      <c r="AE14" s="186">
        <f>AB14+AD14</f>
        <v>498</v>
      </c>
      <c r="AF14" s="190">
        <f>IFERROR((AE14-AB14)/AB14,0)</f>
        <v>0.26717557251908397</v>
      </c>
      <c r="AG14" s="209">
        <f t="shared" ref="AG14:AG27" si="9">AG38+AG86+AG109+AG132+AG155</f>
        <v>30</v>
      </c>
      <c r="AH14" s="186">
        <f>AE14+AG14</f>
        <v>528</v>
      </c>
      <c r="AI14" s="210">
        <f>IFERROR((AH14-AE14)/AE14,0)</f>
        <v>6.0240963855421686E-2</v>
      </c>
      <c r="AJ14" s="188">
        <f t="shared" ref="AJ14:AJ27" si="10">AJ38+AJ86+AJ109+AJ132+AJ155</f>
        <v>16</v>
      </c>
      <c r="AK14" s="186">
        <f>AH14+AJ14</f>
        <v>544</v>
      </c>
      <c r="AL14" s="190">
        <f>IFERROR((AK14-AH14)/AH14,0)</f>
        <v>3.0303030303030304E-2</v>
      </c>
      <c r="AM14" s="213">
        <f>X14+AA14+AD14+AG14+AJ14</f>
        <v>514</v>
      </c>
      <c r="AN14" s="199">
        <f>IFERROR((AK14/Y14)^(1/4)-1,0)</f>
        <v>0.31306719867377963</v>
      </c>
    </row>
    <row r="15" spans="2:40" outlineLevel="1" x14ac:dyDescent="0.25">
      <c r="B15" s="52" t="s">
        <v>284</v>
      </c>
      <c r="C15" s="64" t="s">
        <v>22</v>
      </c>
      <c r="D15" s="188">
        <f t="shared" si="0"/>
        <v>0</v>
      </c>
      <c r="E15" s="189">
        <f t="shared" si="0"/>
        <v>0</v>
      </c>
      <c r="F15" s="209">
        <f t="shared" si="0"/>
        <v>0</v>
      </c>
      <c r="G15" s="186">
        <f t="shared" si="1"/>
        <v>0</v>
      </c>
      <c r="H15" s="210">
        <f t="shared" si="2"/>
        <v>0</v>
      </c>
      <c r="I15" s="188">
        <f>I39+I63+I87+I110+I133+I156</f>
        <v>0</v>
      </c>
      <c r="J15" s="186">
        <f t="shared" ref="J15:J17" si="11">G15+I15</f>
        <v>0</v>
      </c>
      <c r="K15" s="190">
        <f t="shared" ref="K15:K30" si="12">IFERROR((J15-G15)/G15,0)</f>
        <v>0</v>
      </c>
      <c r="L15" s="209">
        <f>L39+L63+L87+L110+L133+L156</f>
        <v>0</v>
      </c>
      <c r="M15" s="186">
        <f t="shared" ref="M15:M17" si="13">J15+L15</f>
        <v>0</v>
      </c>
      <c r="N15" s="210">
        <f t="shared" ref="N15:N30" si="14">IFERROR((M15-J15)/J15,0)</f>
        <v>0</v>
      </c>
      <c r="O15" s="188">
        <f t="shared" ref="O15:O21" si="15">O39+O63+O87+O110+O133+O156</f>
        <v>0</v>
      </c>
      <c r="P15" s="150"/>
      <c r="Q15" s="153"/>
      <c r="R15" s="188">
        <f t="shared" ref="R15:R21" si="16">R39+R63+R87+R110+R133+R156</f>
        <v>0</v>
      </c>
      <c r="S15" s="186">
        <f t="shared" ref="S15:S17" si="17">M15+R15</f>
        <v>0</v>
      </c>
      <c r="T15" s="190">
        <f t="shared" ref="T15:T30" si="18">IFERROR((S15-M15)/M15,0)</f>
        <v>0</v>
      </c>
      <c r="U15" s="198">
        <f t="shared" si="3"/>
        <v>0</v>
      </c>
      <c r="V15" s="199">
        <f t="shared" si="4"/>
        <v>0</v>
      </c>
      <c r="X15" s="188">
        <f t="shared" si="5"/>
        <v>242</v>
      </c>
      <c r="Y15" s="187">
        <f t="shared" si="5"/>
        <v>242</v>
      </c>
      <c r="Z15" s="190">
        <f t="shared" si="6"/>
        <v>0</v>
      </c>
      <c r="AA15" s="209">
        <f t="shared" si="7"/>
        <v>290</v>
      </c>
      <c r="AB15" s="186">
        <f t="shared" ref="AB15:AB17" si="19">Y15+AA15</f>
        <v>532</v>
      </c>
      <c r="AC15" s="210">
        <f t="shared" ref="AC15:AC17" si="20">IFERROR((AB15-Y15)/Y15,0)</f>
        <v>1.1983471074380165</v>
      </c>
      <c r="AD15" s="188">
        <f t="shared" si="8"/>
        <v>268</v>
      </c>
      <c r="AE15" s="186">
        <f t="shared" ref="AE15:AE17" si="21">AB15+AD15</f>
        <v>800</v>
      </c>
      <c r="AF15" s="190">
        <f t="shared" ref="AF15:AF17" si="22">IFERROR((AE15-AB15)/AB15,0)</f>
        <v>0.50375939849624063</v>
      </c>
      <c r="AG15" s="209">
        <f t="shared" si="9"/>
        <v>68</v>
      </c>
      <c r="AH15" s="186">
        <f t="shared" ref="AH15:AH17" si="23">AE15+AG15</f>
        <v>868</v>
      </c>
      <c r="AI15" s="210">
        <f t="shared" ref="AI15:AI16" si="24">IFERROR((AH15-AE15)/AE15,0)</f>
        <v>8.5000000000000006E-2</v>
      </c>
      <c r="AJ15" s="188">
        <f t="shared" si="10"/>
        <v>14</v>
      </c>
      <c r="AK15" s="186">
        <f t="shared" ref="AK15:AK17" si="25">AH15+AJ15</f>
        <v>882</v>
      </c>
      <c r="AL15" s="190">
        <f t="shared" ref="AL15:AL17" si="26">IFERROR((AK15-AH15)/AH15,0)</f>
        <v>1.6129032258064516E-2</v>
      </c>
      <c r="AM15" s="213">
        <f t="shared" ref="AM15:AM17" si="27">X15+AA15+AD15+AG15+AJ15</f>
        <v>882</v>
      </c>
      <c r="AN15" s="199">
        <f t="shared" ref="AN15:AN30" si="28">IFERROR((AK15/Y15)^(1/4)-1,0)</f>
        <v>0.38169855941551489</v>
      </c>
    </row>
    <row r="16" spans="2:40" outlineLevel="1" x14ac:dyDescent="0.25">
      <c r="B16" s="52" t="s">
        <v>285</v>
      </c>
      <c r="C16" s="64" t="s">
        <v>22</v>
      </c>
      <c r="D16" s="188">
        <f t="shared" si="0"/>
        <v>0</v>
      </c>
      <c r="E16" s="189">
        <f t="shared" si="0"/>
        <v>0</v>
      </c>
      <c r="F16" s="209">
        <f t="shared" si="0"/>
        <v>0</v>
      </c>
      <c r="G16" s="186">
        <f t="shared" si="1"/>
        <v>0</v>
      </c>
      <c r="H16" s="210">
        <f t="shared" si="2"/>
        <v>0</v>
      </c>
      <c r="I16" s="188">
        <f>I40+I64+I88+I111+I134+I157</f>
        <v>0</v>
      </c>
      <c r="J16" s="186">
        <f t="shared" si="11"/>
        <v>0</v>
      </c>
      <c r="K16" s="190">
        <f t="shared" si="12"/>
        <v>0</v>
      </c>
      <c r="L16" s="209">
        <f>L40+L64+L88+L111+L134+L157</f>
        <v>0</v>
      </c>
      <c r="M16" s="186">
        <f t="shared" si="13"/>
        <v>0</v>
      </c>
      <c r="N16" s="210">
        <f t="shared" si="14"/>
        <v>0</v>
      </c>
      <c r="O16" s="188">
        <f t="shared" si="15"/>
        <v>0</v>
      </c>
      <c r="P16" s="150"/>
      <c r="Q16" s="153"/>
      <c r="R16" s="188">
        <f t="shared" si="16"/>
        <v>0</v>
      </c>
      <c r="S16" s="186">
        <f t="shared" si="17"/>
        <v>0</v>
      </c>
      <c r="T16" s="190">
        <f t="shared" si="18"/>
        <v>0</v>
      </c>
      <c r="U16" s="198">
        <f t="shared" si="3"/>
        <v>0</v>
      </c>
      <c r="V16" s="199">
        <f t="shared" si="4"/>
        <v>0</v>
      </c>
      <c r="X16" s="188">
        <f t="shared" si="5"/>
        <v>240</v>
      </c>
      <c r="Y16" s="187">
        <f t="shared" si="5"/>
        <v>240</v>
      </c>
      <c r="Z16" s="190">
        <f t="shared" si="6"/>
        <v>0</v>
      </c>
      <c r="AA16" s="209">
        <f t="shared" si="7"/>
        <v>284</v>
      </c>
      <c r="AB16" s="186">
        <f t="shared" si="19"/>
        <v>524</v>
      </c>
      <c r="AC16" s="210">
        <f t="shared" si="20"/>
        <v>1.1833333333333333</v>
      </c>
      <c r="AD16" s="188">
        <f t="shared" si="8"/>
        <v>226</v>
      </c>
      <c r="AE16" s="186">
        <f t="shared" si="21"/>
        <v>750</v>
      </c>
      <c r="AF16" s="190">
        <f t="shared" si="22"/>
        <v>0.43129770992366412</v>
      </c>
      <c r="AG16" s="209">
        <f t="shared" si="9"/>
        <v>69</v>
      </c>
      <c r="AH16" s="186">
        <f t="shared" si="23"/>
        <v>819</v>
      </c>
      <c r="AI16" s="210">
        <f t="shared" si="24"/>
        <v>9.1999999999999998E-2</v>
      </c>
      <c r="AJ16" s="188">
        <f t="shared" si="10"/>
        <v>36</v>
      </c>
      <c r="AK16" s="186">
        <f t="shared" si="25"/>
        <v>855</v>
      </c>
      <c r="AL16" s="190">
        <f t="shared" si="26"/>
        <v>4.3956043956043959E-2</v>
      </c>
      <c r="AM16" s="213">
        <f t="shared" si="27"/>
        <v>855</v>
      </c>
      <c r="AN16" s="199">
        <f t="shared" si="28"/>
        <v>0.37384810252723621</v>
      </c>
    </row>
    <row r="17" spans="2:40" ht="15" customHeight="1" outlineLevel="1" x14ac:dyDescent="0.25">
      <c r="B17" s="52" t="s">
        <v>286</v>
      </c>
      <c r="C17" s="65" t="s">
        <v>22</v>
      </c>
      <c r="D17" s="194">
        <f t="shared" si="0"/>
        <v>0</v>
      </c>
      <c r="E17" s="195">
        <f t="shared" si="0"/>
        <v>0</v>
      </c>
      <c r="F17" s="211">
        <f t="shared" si="0"/>
        <v>0</v>
      </c>
      <c r="G17" s="196">
        <f t="shared" si="1"/>
        <v>0</v>
      </c>
      <c r="H17" s="212">
        <f t="shared" si="2"/>
        <v>0</v>
      </c>
      <c r="I17" s="194">
        <f>I41+I65+I89+I112+I135+I158</f>
        <v>0</v>
      </c>
      <c r="J17" s="196">
        <f t="shared" si="11"/>
        <v>0</v>
      </c>
      <c r="K17" s="197">
        <f t="shared" si="12"/>
        <v>0</v>
      </c>
      <c r="L17" s="211">
        <f>L41+L65+L89+L112+L135+L158</f>
        <v>0</v>
      </c>
      <c r="M17" s="196">
        <f t="shared" si="13"/>
        <v>0</v>
      </c>
      <c r="N17" s="212">
        <f t="shared" si="14"/>
        <v>0</v>
      </c>
      <c r="O17" s="188">
        <f t="shared" si="15"/>
        <v>0</v>
      </c>
      <c r="P17" s="155"/>
      <c r="Q17" s="156"/>
      <c r="R17" s="188">
        <f t="shared" si="16"/>
        <v>0</v>
      </c>
      <c r="S17" s="196">
        <f t="shared" si="17"/>
        <v>0</v>
      </c>
      <c r="T17" s="197">
        <f t="shared" si="18"/>
        <v>0</v>
      </c>
      <c r="U17" s="198">
        <f t="shared" si="3"/>
        <v>0</v>
      </c>
      <c r="V17" s="199">
        <f t="shared" si="4"/>
        <v>0</v>
      </c>
      <c r="X17" s="188">
        <f t="shared" si="5"/>
        <v>274</v>
      </c>
      <c r="Y17" s="187">
        <f t="shared" si="5"/>
        <v>274</v>
      </c>
      <c r="Z17" s="197">
        <f t="shared" si="6"/>
        <v>0</v>
      </c>
      <c r="AA17" s="209">
        <f t="shared" si="7"/>
        <v>1157</v>
      </c>
      <c r="AB17" s="196">
        <f t="shared" si="19"/>
        <v>1431</v>
      </c>
      <c r="AC17" s="212">
        <f t="shared" si="20"/>
        <v>4.2226277372262775</v>
      </c>
      <c r="AD17" s="188">
        <f t="shared" si="8"/>
        <v>820</v>
      </c>
      <c r="AE17" s="196">
        <f t="shared" si="21"/>
        <v>2251</v>
      </c>
      <c r="AF17" s="197">
        <f t="shared" si="22"/>
        <v>0.573025856044724</v>
      </c>
      <c r="AG17" s="209">
        <f t="shared" si="9"/>
        <v>302</v>
      </c>
      <c r="AH17" s="196">
        <f t="shared" si="23"/>
        <v>2553</v>
      </c>
      <c r="AI17" s="212">
        <f t="shared" ref="AI17:AI28" si="29">IFERROR((AH17-AE17)/AE17,0)</f>
        <v>0.13416259440248779</v>
      </c>
      <c r="AJ17" s="188">
        <f t="shared" si="10"/>
        <v>152</v>
      </c>
      <c r="AK17" s="196">
        <f t="shared" si="25"/>
        <v>2705</v>
      </c>
      <c r="AL17" s="197">
        <f t="shared" si="26"/>
        <v>5.9537798668233451E-2</v>
      </c>
      <c r="AM17" s="214">
        <f t="shared" si="27"/>
        <v>2705</v>
      </c>
      <c r="AN17" s="201">
        <f t="shared" si="28"/>
        <v>0.77257319122478463</v>
      </c>
    </row>
    <row r="18" spans="2:40" ht="15" customHeight="1" outlineLevel="1" x14ac:dyDescent="0.25">
      <c r="B18" s="52" t="s">
        <v>287</v>
      </c>
      <c r="C18" s="65" t="s">
        <v>22</v>
      </c>
      <c r="D18" s="194">
        <f t="shared" ref="D18:F22" si="30">D53+D77+D101+D124+D147+D170</f>
        <v>0</v>
      </c>
      <c r="E18" s="195">
        <f t="shared" si="30"/>
        <v>0</v>
      </c>
      <c r="F18" s="211">
        <f t="shared" si="30"/>
        <v>0</v>
      </c>
      <c r="G18" s="196">
        <f t="shared" ref="G18" si="31">E18+F18</f>
        <v>0</v>
      </c>
      <c r="H18" s="212">
        <f t="shared" ref="H18" si="32">IFERROR((G18-E18)/E18,0)</f>
        <v>0</v>
      </c>
      <c r="I18" s="194">
        <f>I53+I77+I101+I124+I147+I170</f>
        <v>0</v>
      </c>
      <c r="J18" s="196">
        <f t="shared" ref="J18" si="33">G18+I18</f>
        <v>0</v>
      </c>
      <c r="K18" s="197">
        <f t="shared" ref="K18" si="34">IFERROR((J18-G18)/G18,0)</f>
        <v>0</v>
      </c>
      <c r="L18" s="211">
        <f>L53+L77+L101+L124+L147+L170</f>
        <v>0</v>
      </c>
      <c r="M18" s="196">
        <f t="shared" ref="M18" si="35">J18+L18</f>
        <v>0</v>
      </c>
      <c r="N18" s="212">
        <f t="shared" ref="N18" si="36">IFERROR((M18-J18)/J18,0)</f>
        <v>0</v>
      </c>
      <c r="O18" s="188">
        <f t="shared" si="15"/>
        <v>0</v>
      </c>
      <c r="P18" s="155"/>
      <c r="Q18" s="156"/>
      <c r="R18" s="188">
        <f t="shared" si="16"/>
        <v>0</v>
      </c>
      <c r="S18" s="196">
        <f t="shared" ref="S18" si="37">M18+R18</f>
        <v>0</v>
      </c>
      <c r="T18" s="197">
        <f t="shared" ref="T18" si="38">IFERROR((S18-M18)/M18,0)</f>
        <v>0</v>
      </c>
      <c r="U18" s="198">
        <f t="shared" ref="U18" si="39">D18+F18+I18+L18+R18</f>
        <v>0</v>
      </c>
      <c r="V18" s="199">
        <f t="shared" ref="V18" si="40">IFERROR((S18/E18)^(1/4)-1,0)</f>
        <v>0</v>
      </c>
      <c r="X18" s="188">
        <f t="shared" si="5"/>
        <v>0</v>
      </c>
      <c r="Y18" s="187">
        <f t="shared" si="5"/>
        <v>0</v>
      </c>
      <c r="Z18" s="197">
        <f t="shared" ref="Z18" si="41">IFERROR((Y18-S18)/S18,0)</f>
        <v>0</v>
      </c>
      <c r="AA18" s="209">
        <f t="shared" si="7"/>
        <v>1034</v>
      </c>
      <c r="AB18" s="196">
        <f t="shared" ref="AB18" si="42">Y18+AA18</f>
        <v>1034</v>
      </c>
      <c r="AC18" s="212">
        <f t="shared" ref="AC18" si="43">IFERROR((AB18-Y18)/Y18,0)</f>
        <v>0</v>
      </c>
      <c r="AD18" s="188">
        <f t="shared" si="8"/>
        <v>809</v>
      </c>
      <c r="AE18" s="196">
        <f t="shared" ref="AE18" si="44">AB18+AD18</f>
        <v>1843</v>
      </c>
      <c r="AF18" s="197">
        <f t="shared" ref="AF18" si="45">IFERROR((AE18-AB18)/AB18,0)</f>
        <v>0.78239845261121854</v>
      </c>
      <c r="AG18" s="209">
        <f t="shared" si="9"/>
        <v>699</v>
      </c>
      <c r="AH18" s="196">
        <f t="shared" ref="AH18" si="46">AE18+AG18</f>
        <v>2542</v>
      </c>
      <c r="AI18" s="212">
        <f t="shared" si="29"/>
        <v>0.37927292457948997</v>
      </c>
      <c r="AJ18" s="188">
        <f t="shared" si="10"/>
        <v>353</v>
      </c>
      <c r="AK18" s="196">
        <f t="shared" ref="AK18" si="47">AH18+AJ18</f>
        <v>2895</v>
      </c>
      <c r="AL18" s="197">
        <f t="shared" ref="AL18" si="48">IFERROR((AK18-AH18)/AH18,0)</f>
        <v>0.13886703383162863</v>
      </c>
      <c r="AM18" s="214">
        <f t="shared" ref="AM18" si="49">X18+AA18+AD18+AG18+AJ18</f>
        <v>2895</v>
      </c>
      <c r="AN18" s="201">
        <f t="shared" ref="AN18" si="50">IFERROR((AK18/Y18)^(1/4)-1,0)</f>
        <v>0</v>
      </c>
    </row>
    <row r="19" spans="2:40" ht="15" customHeight="1" outlineLevel="1" x14ac:dyDescent="0.25">
      <c r="B19" s="52" t="s">
        <v>288</v>
      </c>
      <c r="C19" s="65" t="s">
        <v>22</v>
      </c>
      <c r="D19" s="194">
        <f t="shared" si="30"/>
        <v>0</v>
      </c>
      <c r="E19" s="195">
        <f t="shared" si="30"/>
        <v>0</v>
      </c>
      <c r="F19" s="211">
        <f t="shared" si="30"/>
        <v>0</v>
      </c>
      <c r="G19" s="196">
        <f t="shared" ref="G19" si="51">E19+F19</f>
        <v>0</v>
      </c>
      <c r="H19" s="212">
        <f t="shared" ref="H19" si="52">IFERROR((G19-E19)/E19,0)</f>
        <v>0</v>
      </c>
      <c r="I19" s="194">
        <f>I54+I78+I102+I125+I148+I171</f>
        <v>0</v>
      </c>
      <c r="J19" s="196">
        <f t="shared" ref="J19" si="53">G19+I19</f>
        <v>0</v>
      </c>
      <c r="K19" s="197">
        <f t="shared" ref="K19" si="54">IFERROR((J19-G19)/G19,0)</f>
        <v>0</v>
      </c>
      <c r="L19" s="211">
        <f>L54+L78+L102+L125+L148+L171</f>
        <v>0</v>
      </c>
      <c r="M19" s="196">
        <f t="shared" ref="M19" si="55">J19+L19</f>
        <v>0</v>
      </c>
      <c r="N19" s="212">
        <f t="shared" ref="N19" si="56">IFERROR((M19-J19)/J19,0)</f>
        <v>0</v>
      </c>
      <c r="O19" s="188">
        <f t="shared" si="15"/>
        <v>0</v>
      </c>
      <c r="P19" s="155"/>
      <c r="Q19" s="156"/>
      <c r="R19" s="188">
        <f t="shared" si="16"/>
        <v>0</v>
      </c>
      <c r="S19" s="196">
        <f t="shared" ref="S19" si="57">M19+R19</f>
        <v>0</v>
      </c>
      <c r="T19" s="197">
        <f t="shared" ref="T19" si="58">IFERROR((S19-M19)/M19,0)</f>
        <v>0</v>
      </c>
      <c r="U19" s="198">
        <f t="shared" ref="U19" si="59">D19+F19+I19+L19+R19</f>
        <v>0</v>
      </c>
      <c r="V19" s="199">
        <f t="shared" ref="V19" si="60">IFERROR((S19/E19)^(1/4)-1,0)</f>
        <v>0</v>
      </c>
      <c r="X19" s="188">
        <f t="shared" si="5"/>
        <v>283</v>
      </c>
      <c r="Y19" s="187">
        <f t="shared" si="5"/>
        <v>283</v>
      </c>
      <c r="Z19" s="197">
        <f t="shared" ref="Z19" si="61">IFERROR((Y19-S19)/S19,0)</f>
        <v>0</v>
      </c>
      <c r="AA19" s="209">
        <f t="shared" si="7"/>
        <v>370</v>
      </c>
      <c r="AB19" s="196">
        <f t="shared" ref="AB19" si="62">Y19+AA19</f>
        <v>653</v>
      </c>
      <c r="AC19" s="212">
        <f t="shared" ref="AC19" si="63">IFERROR((AB19-Y19)/Y19,0)</f>
        <v>1.3074204946996466</v>
      </c>
      <c r="AD19" s="188">
        <f t="shared" si="8"/>
        <v>231</v>
      </c>
      <c r="AE19" s="196">
        <f t="shared" ref="AE19" si="64">AB19+AD19</f>
        <v>884</v>
      </c>
      <c r="AF19" s="197">
        <f t="shared" ref="AF19" si="65">IFERROR((AE19-AB19)/AB19,0)</f>
        <v>0.35375191424196017</v>
      </c>
      <c r="AG19" s="209">
        <f t="shared" si="9"/>
        <v>54</v>
      </c>
      <c r="AH19" s="196">
        <f t="shared" ref="AH19" si="66">AE19+AG19</f>
        <v>938</v>
      </c>
      <c r="AI19" s="212">
        <f t="shared" si="29"/>
        <v>6.1085972850678731E-2</v>
      </c>
      <c r="AJ19" s="188">
        <f t="shared" si="10"/>
        <v>27</v>
      </c>
      <c r="AK19" s="196">
        <f t="shared" ref="AK19" si="67">AH19+AJ19</f>
        <v>965</v>
      </c>
      <c r="AL19" s="197">
        <f t="shared" ref="AL19" si="68">IFERROR((AK19-AH19)/AH19,0)</f>
        <v>2.8784648187633263E-2</v>
      </c>
      <c r="AM19" s="214">
        <f t="shared" ref="AM19" si="69">X19+AA19+AD19+AG19+AJ19</f>
        <v>965</v>
      </c>
      <c r="AN19" s="201">
        <f t="shared" ref="AN19" si="70">IFERROR((AK19/Y19)^(1/4)-1,0)</f>
        <v>0.35889286848382196</v>
      </c>
    </row>
    <row r="20" spans="2:40" ht="15" customHeight="1" outlineLevel="1" x14ac:dyDescent="0.25">
      <c r="B20" s="52" t="s">
        <v>289</v>
      </c>
      <c r="C20" s="65" t="s">
        <v>22</v>
      </c>
      <c r="D20" s="194">
        <f t="shared" si="30"/>
        <v>0</v>
      </c>
      <c r="E20" s="195">
        <f t="shared" si="30"/>
        <v>0</v>
      </c>
      <c r="F20" s="211">
        <f t="shared" si="30"/>
        <v>0</v>
      </c>
      <c r="G20" s="196">
        <f t="shared" ref="G20" si="71">E20+F20</f>
        <v>0</v>
      </c>
      <c r="H20" s="212">
        <f t="shared" ref="H20" si="72">IFERROR((G20-E20)/E20,0)</f>
        <v>0</v>
      </c>
      <c r="I20" s="194">
        <f>I55+I79+I103+I126+I149+I172</f>
        <v>0</v>
      </c>
      <c r="J20" s="196">
        <f t="shared" ref="J20" si="73">G20+I20</f>
        <v>0</v>
      </c>
      <c r="K20" s="197">
        <f t="shared" ref="K20" si="74">IFERROR((J20-G20)/G20,0)</f>
        <v>0</v>
      </c>
      <c r="L20" s="211">
        <f>L55+L79+L103+L126+L149+L172</f>
        <v>0</v>
      </c>
      <c r="M20" s="196">
        <f t="shared" ref="M20" si="75">J20+L20</f>
        <v>0</v>
      </c>
      <c r="N20" s="212">
        <f t="shared" ref="N20" si="76">IFERROR((M20-J20)/J20,0)</f>
        <v>0</v>
      </c>
      <c r="O20" s="188">
        <f t="shared" si="15"/>
        <v>0</v>
      </c>
      <c r="P20" s="155"/>
      <c r="Q20" s="156"/>
      <c r="R20" s="188">
        <f t="shared" si="16"/>
        <v>0</v>
      </c>
      <c r="S20" s="196">
        <f t="shared" ref="S20" si="77">M20+R20</f>
        <v>0</v>
      </c>
      <c r="T20" s="197">
        <f t="shared" ref="T20" si="78">IFERROR((S20-M20)/M20,0)</f>
        <v>0</v>
      </c>
      <c r="U20" s="198">
        <f t="shared" ref="U20" si="79">D20+F20+I20+L20+R20</f>
        <v>0</v>
      </c>
      <c r="V20" s="199">
        <f t="shared" ref="V20" si="80">IFERROR((S20/E20)^(1/4)-1,0)</f>
        <v>0</v>
      </c>
      <c r="X20" s="188">
        <f t="shared" si="5"/>
        <v>557</v>
      </c>
      <c r="Y20" s="187">
        <f t="shared" si="5"/>
        <v>557</v>
      </c>
      <c r="Z20" s="197">
        <f t="shared" ref="Z20" si="81">IFERROR((Y20-S20)/S20,0)</f>
        <v>0</v>
      </c>
      <c r="AA20" s="209">
        <f t="shared" si="7"/>
        <v>1681</v>
      </c>
      <c r="AB20" s="196">
        <f t="shared" ref="AB20" si="82">Y20+AA20</f>
        <v>2238</v>
      </c>
      <c r="AC20" s="212">
        <f t="shared" ref="AC20" si="83">IFERROR((AB20-Y20)/Y20,0)</f>
        <v>3.0179533213644523</v>
      </c>
      <c r="AD20" s="188">
        <f t="shared" si="8"/>
        <v>1102</v>
      </c>
      <c r="AE20" s="196">
        <f t="shared" ref="AE20" si="84">AB20+AD20</f>
        <v>3340</v>
      </c>
      <c r="AF20" s="197">
        <f t="shared" ref="AF20" si="85">IFERROR((AE20-AB20)/AB20,0)</f>
        <v>0.49240393208221628</v>
      </c>
      <c r="AG20" s="209">
        <f t="shared" si="9"/>
        <v>1073</v>
      </c>
      <c r="AH20" s="196">
        <f t="shared" ref="AH20" si="86">AE20+AG20</f>
        <v>4413</v>
      </c>
      <c r="AI20" s="212">
        <f t="shared" si="29"/>
        <v>0.32125748502994012</v>
      </c>
      <c r="AJ20" s="188">
        <f t="shared" si="10"/>
        <v>537</v>
      </c>
      <c r="AK20" s="196">
        <f t="shared" ref="AK20" si="87">AH20+AJ20</f>
        <v>4950</v>
      </c>
      <c r="AL20" s="197">
        <f t="shared" ref="AL20" si="88">IFERROR((AK20-AH20)/AH20,0)</f>
        <v>0.12168592794017676</v>
      </c>
      <c r="AM20" s="214">
        <f t="shared" ref="AM20" si="89">X20+AA20+AD20+AG20+AJ20</f>
        <v>4950</v>
      </c>
      <c r="AN20" s="201">
        <f t="shared" ref="AN20" si="90">IFERROR((AK20/Y20)^(1/4)-1,0)</f>
        <v>0.72658316070698103</v>
      </c>
    </row>
    <row r="21" spans="2:40" ht="15" customHeight="1" outlineLevel="1" x14ac:dyDescent="0.25">
      <c r="B21" s="52" t="s">
        <v>290</v>
      </c>
      <c r="C21" s="65" t="s">
        <v>22</v>
      </c>
      <c r="D21" s="194">
        <f t="shared" si="30"/>
        <v>0</v>
      </c>
      <c r="E21" s="195">
        <f t="shared" si="30"/>
        <v>0</v>
      </c>
      <c r="F21" s="211">
        <f t="shared" si="30"/>
        <v>0</v>
      </c>
      <c r="G21" s="196">
        <f t="shared" ref="G21" si="91">E21+F21</f>
        <v>0</v>
      </c>
      <c r="H21" s="212">
        <f t="shared" ref="H21" si="92">IFERROR((G21-E21)/E21,0)</f>
        <v>0</v>
      </c>
      <c r="I21" s="194">
        <f>I56+I80+I104+I127+I150+I173</f>
        <v>0</v>
      </c>
      <c r="J21" s="196">
        <f t="shared" ref="J21" si="93">G21+I21</f>
        <v>0</v>
      </c>
      <c r="K21" s="197">
        <f t="shared" ref="K21" si="94">IFERROR((J21-G21)/G21,0)</f>
        <v>0</v>
      </c>
      <c r="L21" s="211">
        <f>L56+L80+L104+L127+L150+L173</f>
        <v>0</v>
      </c>
      <c r="M21" s="196">
        <f t="shared" ref="M21" si="95">J21+L21</f>
        <v>0</v>
      </c>
      <c r="N21" s="212">
        <f t="shared" ref="N21" si="96">IFERROR((M21-J21)/J21,0)</f>
        <v>0</v>
      </c>
      <c r="O21" s="188">
        <f t="shared" si="15"/>
        <v>0</v>
      </c>
      <c r="P21" s="155"/>
      <c r="Q21" s="156"/>
      <c r="R21" s="188">
        <f t="shared" si="16"/>
        <v>0</v>
      </c>
      <c r="S21" s="196">
        <f t="shared" ref="S21" si="97">M21+R21</f>
        <v>0</v>
      </c>
      <c r="T21" s="197">
        <f t="shared" ref="T21" si="98">IFERROR((S21-M21)/M21,0)</f>
        <v>0</v>
      </c>
      <c r="U21" s="198">
        <f t="shared" ref="U21" si="99">D21+F21+I21+L21+R21</f>
        <v>0</v>
      </c>
      <c r="V21" s="199">
        <f t="shared" ref="V21" si="100">IFERROR((S21/E21)^(1/4)-1,0)</f>
        <v>0</v>
      </c>
      <c r="X21" s="188">
        <f t="shared" si="5"/>
        <v>530</v>
      </c>
      <c r="Y21" s="187">
        <f t="shared" si="5"/>
        <v>530</v>
      </c>
      <c r="Z21" s="197">
        <f t="shared" ref="Z21" si="101">IFERROR((Y21-S21)/S21,0)</f>
        <v>0</v>
      </c>
      <c r="AA21" s="209">
        <f t="shared" si="7"/>
        <v>1515</v>
      </c>
      <c r="AB21" s="196">
        <f t="shared" ref="AB21" si="102">Y21+AA21</f>
        <v>2045</v>
      </c>
      <c r="AC21" s="212">
        <f t="shared" ref="AC21" si="103">IFERROR((AB21-Y21)/Y21,0)</f>
        <v>2.858490566037736</v>
      </c>
      <c r="AD21" s="188">
        <f t="shared" si="8"/>
        <v>1275</v>
      </c>
      <c r="AE21" s="196">
        <f t="shared" ref="AE21" si="104">AB21+AD21</f>
        <v>3320</v>
      </c>
      <c r="AF21" s="197">
        <f t="shared" ref="AF21" si="105">IFERROR((AE21-AB21)/AB21,0)</f>
        <v>0.62347188264058684</v>
      </c>
      <c r="AG21" s="209">
        <f t="shared" si="9"/>
        <v>1075</v>
      </c>
      <c r="AH21" s="196">
        <f t="shared" ref="AH21" si="106">AE21+AG21</f>
        <v>4395</v>
      </c>
      <c r="AI21" s="212">
        <f t="shared" si="29"/>
        <v>0.32379518072289154</v>
      </c>
      <c r="AJ21" s="188">
        <f t="shared" si="10"/>
        <v>537</v>
      </c>
      <c r="AK21" s="196">
        <f t="shared" ref="AK21" si="107">AH21+AJ21</f>
        <v>4932</v>
      </c>
      <c r="AL21" s="197">
        <f t="shared" ref="AL21" si="108">IFERROR((AK21-AH21)/AH21,0)</f>
        <v>0.12218430034129693</v>
      </c>
      <c r="AM21" s="214">
        <f t="shared" ref="AM21" si="109">X21+AA21+AD21+AG21+AJ21</f>
        <v>4932</v>
      </c>
      <c r="AN21" s="201">
        <f t="shared" ref="AN21" si="110">IFERROR((AK21/Y21)^(1/4)-1,0)</f>
        <v>0.74657323083024174</v>
      </c>
    </row>
    <row r="22" spans="2:40" ht="15" customHeight="1" outlineLevel="1" x14ac:dyDescent="0.25">
      <c r="B22" s="52" t="s">
        <v>291</v>
      </c>
      <c r="C22" s="65" t="s">
        <v>22</v>
      </c>
      <c r="D22" s="194">
        <f t="shared" si="30"/>
        <v>0</v>
      </c>
      <c r="E22" s="195">
        <f t="shared" si="30"/>
        <v>0</v>
      </c>
      <c r="F22" s="211">
        <f t="shared" si="30"/>
        <v>0</v>
      </c>
      <c r="G22" s="196">
        <f t="shared" ref="G22" si="111">E22+F22</f>
        <v>0</v>
      </c>
      <c r="H22" s="212">
        <f t="shared" ref="H22:H28" si="112">IFERROR((G22-E22)/E22,0)</f>
        <v>0</v>
      </c>
      <c r="I22" s="194">
        <f>I57+I81+I105+I128+I151+I174</f>
        <v>0</v>
      </c>
      <c r="J22" s="196">
        <f t="shared" ref="J22" si="113">G22+I22</f>
        <v>0</v>
      </c>
      <c r="K22" s="197">
        <f t="shared" ref="K22:K28" si="114">IFERROR((J22-G22)/G22,0)</f>
        <v>0</v>
      </c>
      <c r="L22" s="211">
        <f>L57+L81+L105+L128+L151+L174</f>
        <v>0</v>
      </c>
      <c r="M22" s="196">
        <f t="shared" ref="M22" si="115">J22+L22</f>
        <v>0</v>
      </c>
      <c r="N22" s="212">
        <f t="shared" ref="N22:N28" si="116">IFERROR((M22-J22)/J22,0)</f>
        <v>0</v>
      </c>
      <c r="O22" s="188">
        <f>O46+O70+O94+O117+O140+O163-O70</f>
        <v>37</v>
      </c>
      <c r="P22" s="155"/>
      <c r="Q22" s="156"/>
      <c r="R22" s="188">
        <f>R46+R70+R94+R117+R140+R163-R70</f>
        <v>1213</v>
      </c>
      <c r="S22" s="196">
        <f t="shared" ref="S22" si="117">M22+R22</f>
        <v>1213</v>
      </c>
      <c r="T22" s="197">
        <f t="shared" ref="T22:T28" si="118">IFERROR((S22-M22)/M22,0)</f>
        <v>0</v>
      </c>
      <c r="U22" s="198">
        <f t="shared" ref="U22" si="119">D22+F22+I22+L22+R22</f>
        <v>1213</v>
      </c>
      <c r="V22" s="199">
        <f t="shared" ref="V22:V28" si="120">IFERROR((S22/E22)^(1/4)-1,0)</f>
        <v>0</v>
      </c>
      <c r="X22" s="188">
        <f t="shared" si="5"/>
        <v>260</v>
      </c>
      <c r="Y22" s="187">
        <f t="shared" si="5"/>
        <v>1473</v>
      </c>
      <c r="Z22" s="197">
        <f t="shared" ref="Z22:Z28" si="121">IFERROR((Y22-S22)/S22,0)</f>
        <v>0.21434460016488047</v>
      </c>
      <c r="AA22" s="209">
        <f t="shared" si="7"/>
        <v>145</v>
      </c>
      <c r="AB22" s="196">
        <f t="shared" ref="AB22:AB25" si="122">Y22+AA22</f>
        <v>1618</v>
      </c>
      <c r="AC22" s="212">
        <f t="shared" ref="AC22:AC28" si="123">IFERROR((AB22-Y22)/Y22,0)</f>
        <v>9.8438560760353025E-2</v>
      </c>
      <c r="AD22" s="188">
        <f t="shared" si="8"/>
        <v>34</v>
      </c>
      <c r="AE22" s="196">
        <f t="shared" ref="AE22:AE25" si="124">AB22+AD22</f>
        <v>1652</v>
      </c>
      <c r="AF22" s="197">
        <f t="shared" ref="AF22:AF28" si="125">IFERROR((AE22-AB22)/AB22,0)</f>
        <v>2.1013597033374538E-2</v>
      </c>
      <c r="AG22" s="209">
        <f t="shared" si="9"/>
        <v>30</v>
      </c>
      <c r="AH22" s="196">
        <f t="shared" ref="AH22:AH25" si="126">AE22+AG22</f>
        <v>1682</v>
      </c>
      <c r="AI22" s="212">
        <f t="shared" si="29"/>
        <v>1.8159806295399514E-2</v>
      </c>
      <c r="AJ22" s="188">
        <f t="shared" si="10"/>
        <v>20</v>
      </c>
      <c r="AK22" s="196">
        <f t="shared" ref="AK22:AK25" si="127">AH22+AJ22</f>
        <v>1702</v>
      </c>
      <c r="AL22" s="197">
        <f t="shared" ref="AL22:AL28" si="128">IFERROR((AK22-AH22)/AH22,0)</f>
        <v>1.1890606420927468E-2</v>
      </c>
      <c r="AM22" s="214">
        <f t="shared" ref="AM22:AM25" si="129">X22+AA22+AD22+AG22+AJ22</f>
        <v>489</v>
      </c>
      <c r="AN22" s="201">
        <f t="shared" ref="AN22:AN28" si="130">IFERROR((AK22/Y22)^(1/4)-1,0)</f>
        <v>3.6786186340928229E-2</v>
      </c>
    </row>
    <row r="23" spans="2:40" ht="15" customHeight="1" outlineLevel="1" x14ac:dyDescent="0.25">
      <c r="B23" s="52" t="s">
        <v>307</v>
      </c>
      <c r="C23" s="65"/>
      <c r="D23" s="194"/>
      <c r="E23" s="195"/>
      <c r="F23" s="211"/>
      <c r="G23" s="196"/>
      <c r="H23" s="212">
        <f t="shared" si="112"/>
        <v>0</v>
      </c>
      <c r="I23" s="194"/>
      <c r="J23" s="196"/>
      <c r="K23" s="197">
        <f t="shared" si="114"/>
        <v>0</v>
      </c>
      <c r="L23" s="211"/>
      <c r="M23" s="196"/>
      <c r="N23" s="212">
        <f t="shared" si="116"/>
        <v>0</v>
      </c>
      <c r="O23" s="188"/>
      <c r="P23" s="155"/>
      <c r="Q23" s="156"/>
      <c r="R23" s="188"/>
      <c r="S23" s="196"/>
      <c r="T23" s="197">
        <f t="shared" si="118"/>
        <v>0</v>
      </c>
      <c r="U23" s="198"/>
      <c r="V23" s="199">
        <f t="shared" si="120"/>
        <v>0</v>
      </c>
      <c r="X23" s="188">
        <f t="shared" ref="X23:Y23" si="131">X47+X95+X118+X141+X164</f>
        <v>65</v>
      </c>
      <c r="Y23" s="187">
        <f t="shared" si="131"/>
        <v>65</v>
      </c>
      <c r="Z23" s="197">
        <f t="shared" si="121"/>
        <v>0</v>
      </c>
      <c r="AA23" s="209">
        <f t="shared" si="7"/>
        <v>94</v>
      </c>
      <c r="AB23" s="196">
        <f t="shared" si="122"/>
        <v>159</v>
      </c>
      <c r="AC23" s="212">
        <f t="shared" si="123"/>
        <v>1.4461538461538461</v>
      </c>
      <c r="AD23" s="188">
        <f t="shared" si="8"/>
        <v>101</v>
      </c>
      <c r="AE23" s="196">
        <f t="shared" si="124"/>
        <v>260</v>
      </c>
      <c r="AF23" s="197">
        <f t="shared" si="125"/>
        <v>0.63522012578616349</v>
      </c>
      <c r="AG23" s="209">
        <f t="shared" si="9"/>
        <v>60</v>
      </c>
      <c r="AH23" s="196">
        <f t="shared" si="126"/>
        <v>320</v>
      </c>
      <c r="AI23" s="212">
        <f t="shared" ref="AI23:AI27" si="132">IFERROR((AH23-AE23)/AE23,0)</f>
        <v>0.23076923076923078</v>
      </c>
      <c r="AJ23" s="188">
        <f t="shared" si="10"/>
        <v>49</v>
      </c>
      <c r="AK23" s="196">
        <f t="shared" si="127"/>
        <v>369</v>
      </c>
      <c r="AL23" s="197">
        <f t="shared" si="128"/>
        <v>0.15312500000000001</v>
      </c>
      <c r="AM23" s="214">
        <f t="shared" si="129"/>
        <v>369</v>
      </c>
      <c r="AN23" s="201">
        <f t="shared" si="130"/>
        <v>0.54357683514463684</v>
      </c>
    </row>
    <row r="24" spans="2:40" ht="15" customHeight="1" outlineLevel="1" x14ac:dyDescent="0.25">
      <c r="B24" s="52" t="s">
        <v>304</v>
      </c>
      <c r="C24" s="65"/>
      <c r="D24" s="194"/>
      <c r="E24" s="195"/>
      <c r="F24" s="211"/>
      <c r="G24" s="196"/>
      <c r="H24" s="212">
        <f t="shared" si="112"/>
        <v>0</v>
      </c>
      <c r="I24" s="194"/>
      <c r="J24" s="196"/>
      <c r="K24" s="197">
        <f t="shared" si="114"/>
        <v>0</v>
      </c>
      <c r="L24" s="211"/>
      <c r="M24" s="196"/>
      <c r="N24" s="212">
        <f t="shared" si="116"/>
        <v>0</v>
      </c>
      <c r="O24" s="188"/>
      <c r="P24" s="155"/>
      <c r="Q24" s="156"/>
      <c r="R24" s="188"/>
      <c r="S24" s="196"/>
      <c r="T24" s="197">
        <f t="shared" si="118"/>
        <v>0</v>
      </c>
      <c r="U24" s="198"/>
      <c r="V24" s="199">
        <f t="shared" si="120"/>
        <v>0</v>
      </c>
      <c r="X24" s="188">
        <f t="shared" ref="X24:Y24" si="133">X48+X96+X119+X142+X165</f>
        <v>71</v>
      </c>
      <c r="Y24" s="187">
        <f t="shared" si="133"/>
        <v>71</v>
      </c>
      <c r="Z24" s="197">
        <f t="shared" si="121"/>
        <v>0</v>
      </c>
      <c r="AA24" s="209">
        <f t="shared" si="7"/>
        <v>94</v>
      </c>
      <c r="AB24" s="196">
        <f t="shared" si="122"/>
        <v>165</v>
      </c>
      <c r="AC24" s="212">
        <f t="shared" si="123"/>
        <v>1.323943661971831</v>
      </c>
      <c r="AD24" s="188">
        <f t="shared" si="8"/>
        <v>150</v>
      </c>
      <c r="AE24" s="196">
        <f t="shared" si="124"/>
        <v>315</v>
      </c>
      <c r="AF24" s="197">
        <f t="shared" si="125"/>
        <v>0.90909090909090906</v>
      </c>
      <c r="AG24" s="209">
        <f t="shared" si="9"/>
        <v>70</v>
      </c>
      <c r="AH24" s="196">
        <f t="shared" si="126"/>
        <v>385</v>
      </c>
      <c r="AI24" s="212">
        <f t="shared" si="132"/>
        <v>0.22222222222222221</v>
      </c>
      <c r="AJ24" s="188">
        <f t="shared" si="10"/>
        <v>49</v>
      </c>
      <c r="AK24" s="196">
        <f t="shared" si="127"/>
        <v>434</v>
      </c>
      <c r="AL24" s="197">
        <f t="shared" si="128"/>
        <v>0.12727272727272726</v>
      </c>
      <c r="AM24" s="214">
        <f t="shared" si="129"/>
        <v>434</v>
      </c>
      <c r="AN24" s="201">
        <f t="shared" si="130"/>
        <v>0.57238120945930504</v>
      </c>
    </row>
    <row r="25" spans="2:40" ht="15" customHeight="1" outlineLevel="1" x14ac:dyDescent="0.25">
      <c r="B25" s="52" t="s">
        <v>305</v>
      </c>
      <c r="C25" s="65"/>
      <c r="D25" s="194"/>
      <c r="E25" s="195"/>
      <c r="F25" s="211"/>
      <c r="G25" s="196"/>
      <c r="H25" s="212">
        <f t="shared" si="112"/>
        <v>0</v>
      </c>
      <c r="I25" s="194"/>
      <c r="J25" s="196"/>
      <c r="K25" s="197">
        <f t="shared" si="114"/>
        <v>0</v>
      </c>
      <c r="L25" s="211"/>
      <c r="M25" s="196"/>
      <c r="N25" s="212">
        <f t="shared" si="116"/>
        <v>0</v>
      </c>
      <c r="O25" s="188"/>
      <c r="P25" s="155"/>
      <c r="Q25" s="156"/>
      <c r="R25" s="188"/>
      <c r="S25" s="196"/>
      <c r="T25" s="197">
        <f t="shared" si="118"/>
        <v>0</v>
      </c>
      <c r="U25" s="198"/>
      <c r="V25" s="199">
        <f t="shared" si="120"/>
        <v>0</v>
      </c>
      <c r="X25" s="188">
        <f t="shared" ref="X25:Y25" si="134">X49+X97+X120+X143+X166</f>
        <v>67</v>
      </c>
      <c r="Y25" s="187">
        <f t="shared" si="134"/>
        <v>67</v>
      </c>
      <c r="Z25" s="197">
        <f t="shared" si="121"/>
        <v>0</v>
      </c>
      <c r="AA25" s="209">
        <f t="shared" si="7"/>
        <v>94</v>
      </c>
      <c r="AB25" s="196">
        <f t="shared" si="122"/>
        <v>161</v>
      </c>
      <c r="AC25" s="212">
        <f t="shared" si="123"/>
        <v>1.4029850746268657</v>
      </c>
      <c r="AD25" s="188">
        <f t="shared" si="8"/>
        <v>130</v>
      </c>
      <c r="AE25" s="196">
        <f t="shared" si="124"/>
        <v>291</v>
      </c>
      <c r="AF25" s="197">
        <f t="shared" si="125"/>
        <v>0.80745341614906829</v>
      </c>
      <c r="AG25" s="209">
        <f t="shared" si="9"/>
        <v>60</v>
      </c>
      <c r="AH25" s="196">
        <f t="shared" si="126"/>
        <v>351</v>
      </c>
      <c r="AI25" s="212">
        <f t="shared" si="132"/>
        <v>0.20618556701030927</v>
      </c>
      <c r="AJ25" s="188">
        <f t="shared" si="10"/>
        <v>49</v>
      </c>
      <c r="AK25" s="196">
        <f t="shared" si="127"/>
        <v>400</v>
      </c>
      <c r="AL25" s="197">
        <f t="shared" si="128"/>
        <v>0.1396011396011396</v>
      </c>
      <c r="AM25" s="214">
        <f t="shared" si="129"/>
        <v>400</v>
      </c>
      <c r="AN25" s="201">
        <f t="shared" si="130"/>
        <v>0.563134315126536</v>
      </c>
    </row>
    <row r="26" spans="2:40" ht="15" customHeight="1" outlineLevel="1" x14ac:dyDescent="0.25">
      <c r="B26" s="52" t="s">
        <v>306</v>
      </c>
      <c r="C26" s="65"/>
      <c r="D26" s="194"/>
      <c r="E26" s="195"/>
      <c r="F26" s="211"/>
      <c r="G26" s="196"/>
      <c r="H26" s="212">
        <f t="shared" si="112"/>
        <v>0</v>
      </c>
      <c r="I26" s="194"/>
      <c r="J26" s="196"/>
      <c r="K26" s="197">
        <f t="shared" si="114"/>
        <v>0</v>
      </c>
      <c r="L26" s="211"/>
      <c r="M26" s="196"/>
      <c r="N26" s="212">
        <f t="shared" si="116"/>
        <v>0</v>
      </c>
      <c r="O26" s="188"/>
      <c r="P26" s="155"/>
      <c r="Q26" s="156"/>
      <c r="R26" s="188"/>
      <c r="S26" s="196"/>
      <c r="T26" s="197">
        <f t="shared" si="118"/>
        <v>0</v>
      </c>
      <c r="U26" s="198"/>
      <c r="V26" s="199">
        <f t="shared" si="120"/>
        <v>0</v>
      </c>
      <c r="X26" s="188">
        <f t="shared" ref="X26:Y26" si="135">X50+X98+X121+X144+X167</f>
        <v>153</v>
      </c>
      <c r="Y26" s="187">
        <f t="shared" si="135"/>
        <v>153</v>
      </c>
      <c r="Z26" s="197">
        <f t="shared" ref="Z26:Z27" si="136">IFERROR((Y26-S26)/S26,0)</f>
        <v>0</v>
      </c>
      <c r="AA26" s="209">
        <f t="shared" si="7"/>
        <v>175</v>
      </c>
      <c r="AB26" s="196">
        <f t="shared" ref="AB26:AB27" si="137">Y26+AA26</f>
        <v>328</v>
      </c>
      <c r="AC26" s="212">
        <f t="shared" ref="AC26:AC27" si="138">IFERROR((AB26-Y26)/Y26,0)</f>
        <v>1.1437908496732025</v>
      </c>
      <c r="AD26" s="188">
        <f t="shared" si="8"/>
        <v>203</v>
      </c>
      <c r="AE26" s="196">
        <f t="shared" ref="AE26:AE27" si="139">AB26+AD26</f>
        <v>531</v>
      </c>
      <c r="AF26" s="197">
        <f t="shared" ref="AF26:AF27" si="140">IFERROR((AE26-AB26)/AB26,0)</f>
        <v>0.61890243902439024</v>
      </c>
      <c r="AG26" s="209">
        <f t="shared" si="9"/>
        <v>184</v>
      </c>
      <c r="AH26" s="196">
        <f t="shared" ref="AH26:AH27" si="141">AE26+AG26</f>
        <v>715</v>
      </c>
      <c r="AI26" s="212">
        <f t="shared" si="132"/>
        <v>0.34651600753295669</v>
      </c>
      <c r="AJ26" s="188">
        <f t="shared" si="10"/>
        <v>120</v>
      </c>
      <c r="AK26" s="196">
        <f t="shared" ref="AK26:AK27" si="142">AH26+AJ26</f>
        <v>835</v>
      </c>
      <c r="AL26" s="197">
        <f t="shared" ref="AL26:AL27" si="143">IFERROR((AK26-AH26)/AH26,0)</f>
        <v>0.16783216783216784</v>
      </c>
      <c r="AM26" s="214">
        <f t="shared" ref="AM26:AM27" si="144">X26+AA26+AD26+AG26+AJ26</f>
        <v>835</v>
      </c>
      <c r="AN26" s="201">
        <f t="shared" ref="AN26:AN27" si="145">IFERROR((AK26/Y26)^(1/4)-1,0)</f>
        <v>0.52844128917407329</v>
      </c>
    </row>
    <row r="27" spans="2:40" ht="15" customHeight="1" outlineLevel="1" x14ac:dyDescent="0.25">
      <c r="B27" s="52" t="s">
        <v>308</v>
      </c>
      <c r="C27" s="65"/>
      <c r="D27" s="194"/>
      <c r="E27" s="195"/>
      <c r="F27" s="211"/>
      <c r="G27" s="196"/>
      <c r="H27" s="212">
        <f t="shared" si="112"/>
        <v>0</v>
      </c>
      <c r="I27" s="194"/>
      <c r="J27" s="196"/>
      <c r="K27" s="197">
        <f t="shared" si="114"/>
        <v>0</v>
      </c>
      <c r="L27" s="211"/>
      <c r="M27" s="196"/>
      <c r="N27" s="212">
        <f t="shared" si="116"/>
        <v>0</v>
      </c>
      <c r="O27" s="188"/>
      <c r="P27" s="155"/>
      <c r="Q27" s="156"/>
      <c r="R27" s="188"/>
      <c r="S27" s="196"/>
      <c r="T27" s="197">
        <f t="shared" si="118"/>
        <v>0</v>
      </c>
      <c r="U27" s="198"/>
      <c r="V27" s="199">
        <f t="shared" si="120"/>
        <v>0</v>
      </c>
      <c r="X27" s="188">
        <f t="shared" ref="X27:Y27" si="146">X51+X99+X122+X145+X168</f>
        <v>122</v>
      </c>
      <c r="Y27" s="187">
        <f t="shared" si="146"/>
        <v>122</v>
      </c>
      <c r="Z27" s="197">
        <f t="shared" si="136"/>
        <v>0</v>
      </c>
      <c r="AA27" s="209">
        <f t="shared" si="7"/>
        <v>164</v>
      </c>
      <c r="AB27" s="196">
        <f t="shared" si="137"/>
        <v>286</v>
      </c>
      <c r="AC27" s="212">
        <f t="shared" si="138"/>
        <v>1.3442622950819672</v>
      </c>
      <c r="AD27" s="188">
        <f t="shared" si="8"/>
        <v>184</v>
      </c>
      <c r="AE27" s="196">
        <f t="shared" si="139"/>
        <v>470</v>
      </c>
      <c r="AF27" s="197">
        <f t="shared" si="140"/>
        <v>0.64335664335664333</v>
      </c>
      <c r="AG27" s="209">
        <f t="shared" si="9"/>
        <v>152</v>
      </c>
      <c r="AH27" s="196">
        <f t="shared" si="141"/>
        <v>622</v>
      </c>
      <c r="AI27" s="212">
        <f t="shared" si="132"/>
        <v>0.32340425531914896</v>
      </c>
      <c r="AJ27" s="188">
        <f t="shared" si="10"/>
        <v>120</v>
      </c>
      <c r="AK27" s="196">
        <f t="shared" si="142"/>
        <v>742</v>
      </c>
      <c r="AL27" s="197">
        <f t="shared" si="143"/>
        <v>0.19292604501607716</v>
      </c>
      <c r="AM27" s="214">
        <f t="shared" si="144"/>
        <v>742</v>
      </c>
      <c r="AN27" s="201">
        <f t="shared" si="145"/>
        <v>0.57040264711309652</v>
      </c>
    </row>
    <row r="28" spans="2:40" ht="15" customHeight="1" outlineLevel="1" x14ac:dyDescent="0.25">
      <c r="B28" s="52"/>
      <c r="C28" s="65"/>
      <c r="D28" s="194"/>
      <c r="E28" s="195"/>
      <c r="F28" s="211"/>
      <c r="G28" s="196"/>
      <c r="H28" s="212">
        <f t="shared" si="112"/>
        <v>0</v>
      </c>
      <c r="I28" s="194"/>
      <c r="J28" s="196"/>
      <c r="K28" s="197">
        <f t="shared" si="114"/>
        <v>0</v>
      </c>
      <c r="L28" s="211"/>
      <c r="M28" s="196"/>
      <c r="N28" s="212">
        <f t="shared" si="116"/>
        <v>0</v>
      </c>
      <c r="O28" s="188"/>
      <c r="P28" s="155"/>
      <c r="Q28" s="156"/>
      <c r="R28" s="188"/>
      <c r="S28" s="196"/>
      <c r="T28" s="197">
        <f t="shared" si="118"/>
        <v>0</v>
      </c>
      <c r="U28" s="198"/>
      <c r="V28" s="199">
        <f t="shared" si="120"/>
        <v>0</v>
      </c>
      <c r="X28" s="188"/>
      <c r="Y28" s="187"/>
      <c r="Z28" s="197">
        <f t="shared" si="121"/>
        <v>0</v>
      </c>
      <c r="AA28" s="209"/>
      <c r="AB28" s="196"/>
      <c r="AC28" s="212">
        <f t="shared" si="123"/>
        <v>0</v>
      </c>
      <c r="AD28" s="188"/>
      <c r="AE28" s="196"/>
      <c r="AF28" s="197">
        <f t="shared" si="125"/>
        <v>0</v>
      </c>
      <c r="AG28" s="209"/>
      <c r="AH28" s="196"/>
      <c r="AI28" s="212">
        <f t="shared" si="29"/>
        <v>0</v>
      </c>
      <c r="AJ28" s="188"/>
      <c r="AK28" s="196"/>
      <c r="AL28" s="197">
        <f t="shared" si="128"/>
        <v>0</v>
      </c>
      <c r="AM28" s="214"/>
      <c r="AN28" s="201">
        <f t="shared" si="130"/>
        <v>0</v>
      </c>
    </row>
    <row r="29" spans="2:40" ht="15" customHeight="1" outlineLevel="1" x14ac:dyDescent="0.25">
      <c r="B29" s="349" t="s">
        <v>90</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97"/>
    </row>
    <row r="30" spans="2:40" ht="15" customHeight="1" outlineLevel="1" x14ac:dyDescent="0.25">
      <c r="B30" s="50" t="s">
        <v>82</v>
      </c>
      <c r="C30" s="66" t="s">
        <v>22</v>
      </c>
      <c r="D30" s="218">
        <f>SUM(D14:D28)</f>
        <v>0</v>
      </c>
      <c r="E30" s="222">
        <f>SUM(E14:E28)</f>
        <v>0</v>
      </c>
      <c r="F30" s="215">
        <f>SUM(F14:F28)</f>
        <v>0</v>
      </c>
      <c r="G30" s="220">
        <f>SUM(G14:G28)</f>
        <v>0</v>
      </c>
      <c r="H30" s="217">
        <f>IFERROR((G30-E30)/E30,0)</f>
        <v>0</v>
      </c>
      <c r="I30" s="218">
        <f>SUM(I14:I28)</f>
        <v>0</v>
      </c>
      <c r="J30" s="220">
        <f>SUM(J14:J28)</f>
        <v>0</v>
      </c>
      <c r="K30" s="216">
        <f t="shared" si="12"/>
        <v>0</v>
      </c>
      <c r="L30" s="215">
        <f>SUM(L14:L28)</f>
        <v>0</v>
      </c>
      <c r="M30" s="220">
        <f>SUM(M14:M28)</f>
        <v>0</v>
      </c>
      <c r="N30" s="217">
        <f t="shared" si="14"/>
        <v>0</v>
      </c>
      <c r="O30" s="218">
        <f>SUM(O14:O28)</f>
        <v>67</v>
      </c>
      <c r="P30" s="161"/>
      <c r="Q30" s="162"/>
      <c r="R30" s="218">
        <f>SUM(R14:R28)</f>
        <v>1243</v>
      </c>
      <c r="S30" s="220">
        <f>SUM(S14:S28)</f>
        <v>1243</v>
      </c>
      <c r="T30" s="216">
        <f t="shared" si="18"/>
        <v>0</v>
      </c>
      <c r="U30" s="221">
        <f>D30+F30+I30+L30+R30</f>
        <v>1243</v>
      </c>
      <c r="V30" s="199">
        <f>IFERROR((S30/E30)^(1/4)-1,0)</f>
        <v>0</v>
      </c>
      <c r="X30" s="188">
        <f>SUM(X14:X28)</f>
        <v>3017</v>
      </c>
      <c r="Y30" s="215">
        <f>SUM(Y14:Y28)</f>
        <v>4260</v>
      </c>
      <c r="Z30" s="216">
        <f>IFERROR((Y30-S30)/S30,0)</f>
        <v>2.4271922767497989</v>
      </c>
      <c r="AA30" s="188">
        <f>SUM(AA14:AA28)</f>
        <v>7307</v>
      </c>
      <c r="AB30" s="215">
        <f>SUM(AB14:AB28)</f>
        <v>11567</v>
      </c>
      <c r="AC30" s="217">
        <f>IFERROR((AB30-Y30)/Y30,0)</f>
        <v>1.7152582159624412</v>
      </c>
      <c r="AD30" s="218">
        <f>SUM(AD14:AD28)</f>
        <v>5638</v>
      </c>
      <c r="AE30" s="218">
        <f>SUM(AE14:AE28)</f>
        <v>17205</v>
      </c>
      <c r="AF30" s="216">
        <f>IFERROR((AE30-AB30)/AB30,0)</f>
        <v>0.4874211117835221</v>
      </c>
      <c r="AG30" s="188">
        <f>SUM(AG14:AG28)</f>
        <v>3926</v>
      </c>
      <c r="AH30" s="215">
        <f>SUM(AH14:AH28)</f>
        <v>21131</v>
      </c>
      <c r="AI30" s="217">
        <f>IFERROR((AH30-AE30)/AE30,0)</f>
        <v>0.22818947980238302</v>
      </c>
      <c r="AJ30" s="188">
        <f>SUM(AJ14:AJ28)</f>
        <v>2079</v>
      </c>
      <c r="AK30" s="215">
        <f>SUM(AK14:AK28)</f>
        <v>23210</v>
      </c>
      <c r="AL30" s="217">
        <f>IFERROR((AK30-AH30)/AH30,0)</f>
        <v>9.8386257157730347E-2</v>
      </c>
      <c r="AM30" s="215">
        <f>SUM(AM14:AM28)</f>
        <v>21967</v>
      </c>
      <c r="AN30" s="219">
        <f t="shared" si="28"/>
        <v>0.52779957661023214</v>
      </c>
    </row>
    <row r="31" spans="2:40" ht="15" customHeight="1" x14ac:dyDescent="0.25">
      <c r="R31" s="55" t="s">
        <v>278</v>
      </c>
    </row>
    <row r="32" spans="2:40" ht="15" customHeight="1" x14ac:dyDescent="0.25">
      <c r="R32" s="55"/>
    </row>
    <row r="33" spans="2:40" ht="15.75" x14ac:dyDescent="0.25">
      <c r="B33" s="352" t="s">
        <v>204</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row>
    <row r="34" spans="2:40" ht="5.45" customHeight="1" outlineLevel="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row>
    <row r="35" spans="2:40" outlineLevel="1" x14ac:dyDescent="0.25">
      <c r="B35" s="393"/>
      <c r="C35" s="396" t="s">
        <v>20</v>
      </c>
      <c r="D35" s="372" t="s">
        <v>262</v>
      </c>
      <c r="E35" s="373"/>
      <c r="F35" s="373"/>
      <c r="G35" s="373"/>
      <c r="H35" s="373"/>
      <c r="I35" s="373"/>
      <c r="J35" s="373"/>
      <c r="K35" s="373"/>
      <c r="L35" s="373"/>
      <c r="M35" s="373"/>
      <c r="N35" s="373"/>
      <c r="O35" s="373"/>
      <c r="P35" s="373"/>
      <c r="Q35" s="374"/>
      <c r="R35" s="372" t="s">
        <v>260</v>
      </c>
      <c r="S35" s="373"/>
      <c r="T35" s="374"/>
      <c r="U35" s="388" t="str">
        <f xml:space="preserve"> D36&amp;" - "&amp;R36</f>
        <v>2018 - 2022</v>
      </c>
      <c r="V35" s="398"/>
      <c r="X35" s="372" t="s">
        <v>263</v>
      </c>
      <c r="Y35" s="373"/>
      <c r="Z35" s="373"/>
      <c r="AA35" s="373"/>
      <c r="AB35" s="373"/>
      <c r="AC35" s="373"/>
      <c r="AD35" s="373"/>
      <c r="AE35" s="373"/>
      <c r="AF35" s="373"/>
      <c r="AG35" s="373"/>
      <c r="AH35" s="373"/>
      <c r="AI35" s="373"/>
      <c r="AJ35" s="373"/>
      <c r="AK35" s="373"/>
      <c r="AL35" s="373"/>
      <c r="AM35" s="373"/>
      <c r="AN35" s="374"/>
    </row>
    <row r="36" spans="2:40" outlineLevel="1" x14ac:dyDescent="0.25">
      <c r="B36" s="394"/>
      <c r="C36" s="396"/>
      <c r="D36" s="372">
        <f>$C$3-5</f>
        <v>2018</v>
      </c>
      <c r="E36" s="374"/>
      <c r="F36" s="373">
        <f>$C$3-4</f>
        <v>2019</v>
      </c>
      <c r="G36" s="373"/>
      <c r="H36" s="373"/>
      <c r="I36" s="372">
        <f>$C$3-3</f>
        <v>2020</v>
      </c>
      <c r="J36" s="373"/>
      <c r="K36" s="374"/>
      <c r="L36" s="372">
        <f>$C$3-2</f>
        <v>2021</v>
      </c>
      <c r="M36" s="373"/>
      <c r="N36" s="374"/>
      <c r="O36" s="372" t="str">
        <f>$C$3-1&amp;""&amp;" ("&amp;"Σεπτ"&amp;")"</f>
        <v>2022 (Σεπτ)</v>
      </c>
      <c r="P36" s="373"/>
      <c r="Q36" s="374"/>
      <c r="R36" s="372">
        <f>$C$3-1</f>
        <v>2022</v>
      </c>
      <c r="S36" s="373"/>
      <c r="T36" s="374"/>
      <c r="U36" s="390"/>
      <c r="V36" s="399"/>
      <c r="X36" s="372">
        <f>$C$3</f>
        <v>2023</v>
      </c>
      <c r="Y36" s="373"/>
      <c r="Z36" s="374"/>
      <c r="AA36" s="373">
        <f>$C$3+1</f>
        <v>2024</v>
      </c>
      <c r="AB36" s="373"/>
      <c r="AC36" s="373"/>
      <c r="AD36" s="372">
        <f>$C$3+2</f>
        <v>2025</v>
      </c>
      <c r="AE36" s="373"/>
      <c r="AF36" s="374"/>
      <c r="AG36" s="373">
        <f>$C$3+3</f>
        <v>2026</v>
      </c>
      <c r="AH36" s="373"/>
      <c r="AI36" s="373"/>
      <c r="AJ36" s="372">
        <f>$C$3+4</f>
        <v>2027</v>
      </c>
      <c r="AK36" s="373"/>
      <c r="AL36" s="374"/>
      <c r="AM36" s="376" t="str">
        <f>X36&amp;" - "&amp;AJ36</f>
        <v>2023 - 2027</v>
      </c>
      <c r="AN36" s="392"/>
    </row>
    <row r="37" spans="2:40" ht="30" outlineLevel="1" x14ac:dyDescent="0.25">
      <c r="B37" s="395"/>
      <c r="C37" s="396"/>
      <c r="D37" s="67" t="s">
        <v>6</v>
      </c>
      <c r="E37" s="68" t="s">
        <v>7</v>
      </c>
      <c r="F37" s="78" t="s">
        <v>6</v>
      </c>
      <c r="G37" s="9" t="s">
        <v>7</v>
      </c>
      <c r="H37" s="68" t="s">
        <v>81</v>
      </c>
      <c r="I37" s="78" t="s">
        <v>6</v>
      </c>
      <c r="J37" s="9" t="s">
        <v>7</v>
      </c>
      <c r="K37" s="68" t="s">
        <v>81</v>
      </c>
      <c r="L37" s="78" t="s">
        <v>6</v>
      </c>
      <c r="M37" s="9" t="s">
        <v>7</v>
      </c>
      <c r="N37" s="68" t="s">
        <v>81</v>
      </c>
      <c r="O37" s="78" t="s">
        <v>6</v>
      </c>
      <c r="P37" s="9" t="s">
        <v>7</v>
      </c>
      <c r="Q37" s="68" t="s">
        <v>81</v>
      </c>
      <c r="R37" s="78" t="s">
        <v>6</v>
      </c>
      <c r="S37" s="9" t="s">
        <v>7</v>
      </c>
      <c r="T37" s="68" t="s">
        <v>81</v>
      </c>
      <c r="U37" s="67" t="s">
        <v>17</v>
      </c>
      <c r="V37" s="132" t="s">
        <v>83</v>
      </c>
      <c r="X37" s="67" t="s">
        <v>6</v>
      </c>
      <c r="Y37" s="9" t="s">
        <v>7</v>
      </c>
      <c r="Z37" s="68" t="s">
        <v>81</v>
      </c>
      <c r="AA37" s="78" t="s">
        <v>6</v>
      </c>
      <c r="AB37" s="9" t="s">
        <v>7</v>
      </c>
      <c r="AC37" s="68" t="s">
        <v>81</v>
      </c>
      <c r="AD37" s="78" t="s">
        <v>6</v>
      </c>
      <c r="AE37" s="9" t="s">
        <v>7</v>
      </c>
      <c r="AF37" s="68" t="s">
        <v>81</v>
      </c>
      <c r="AG37" s="78" t="s">
        <v>6</v>
      </c>
      <c r="AH37" s="9" t="s">
        <v>7</v>
      </c>
      <c r="AI37" s="68" t="s">
        <v>81</v>
      </c>
      <c r="AJ37" s="78" t="s">
        <v>6</v>
      </c>
      <c r="AK37" s="9" t="s">
        <v>7</v>
      </c>
      <c r="AL37" s="68" t="s">
        <v>81</v>
      </c>
      <c r="AM37" s="78" t="s">
        <v>17</v>
      </c>
      <c r="AN37" s="132" t="s">
        <v>83</v>
      </c>
    </row>
    <row r="38" spans="2:40" outlineLevel="1" x14ac:dyDescent="0.25">
      <c r="B38" s="281" t="s">
        <v>283</v>
      </c>
      <c r="C38" s="64" t="s">
        <v>22</v>
      </c>
      <c r="D38" s="71">
        <v>0</v>
      </c>
      <c r="E38" s="71">
        <v>0</v>
      </c>
      <c r="F38" s="71">
        <v>0</v>
      </c>
      <c r="G38" s="167">
        <f t="shared" ref="G38:G41" si="147">E38+F38</f>
        <v>0</v>
      </c>
      <c r="H38" s="223">
        <f t="shared" ref="H38:H41" si="148">IFERROR((G38-E38)/E38,0)</f>
        <v>0</v>
      </c>
      <c r="I38" s="71">
        <v>0</v>
      </c>
      <c r="J38" s="167">
        <f>G38+I38</f>
        <v>0</v>
      </c>
      <c r="K38" s="203">
        <f>IFERROR((J38-G38)/G38,0)</f>
        <v>0</v>
      </c>
      <c r="L38" s="71">
        <v>0</v>
      </c>
      <c r="M38" s="167">
        <f>J38+L38</f>
        <v>0</v>
      </c>
      <c r="N38" s="223">
        <f>IFERROR((M38-J38)/J38,0)</f>
        <v>0</v>
      </c>
      <c r="O38" s="71">
        <v>26</v>
      </c>
      <c r="P38" s="161"/>
      <c r="Q38" s="161"/>
      <c r="R38" s="71">
        <f>O38</f>
        <v>26</v>
      </c>
      <c r="S38" s="167">
        <f>M38+R38</f>
        <v>26</v>
      </c>
      <c r="T38" s="203">
        <f>IFERROR((S38-M38)/M38,0)</f>
        <v>0</v>
      </c>
      <c r="U38" s="213">
        <f t="shared" ref="U38:U41" si="149">D38+F38+I38+L38+R38</f>
        <v>26</v>
      </c>
      <c r="V38" s="199">
        <f t="shared" ref="V38:V41" si="150">IFERROR((S38/E38)^(1/4)-1,0)</f>
        <v>0</v>
      </c>
      <c r="X38" s="71">
        <f>'Ανάλυση για νέους πελάτες'!D13</f>
        <v>122</v>
      </c>
      <c r="Y38" s="167">
        <f t="shared" ref="Y38:Y41" si="151">S38+X38</f>
        <v>148</v>
      </c>
      <c r="Z38" s="203">
        <f t="shared" ref="Z38:Z41" si="152">IFERROR((Y38-S38)/S38,0)</f>
        <v>4.6923076923076925</v>
      </c>
      <c r="AA38" s="70">
        <f>'Ανάλυση για νέους πελάτες'!E13</f>
        <v>185</v>
      </c>
      <c r="AB38" s="167">
        <f>Y38+AA38</f>
        <v>333</v>
      </c>
      <c r="AC38" s="223">
        <f>IFERROR((AB38-Y38)/Y38,0)</f>
        <v>1.25</v>
      </c>
      <c r="AD38" s="71">
        <f>'Ανάλυση για νέους πελάτες'!F13</f>
        <v>105</v>
      </c>
      <c r="AE38" s="167">
        <f>AB38+AD38</f>
        <v>438</v>
      </c>
      <c r="AF38" s="203">
        <f>IFERROR((AE38-AB38)/AB38,0)</f>
        <v>0.31531531531531531</v>
      </c>
      <c r="AG38" s="70">
        <f>'Ανάλυση για νέους πελάτες'!G13</f>
        <v>30</v>
      </c>
      <c r="AH38" s="167">
        <f>AE38+AG38</f>
        <v>468</v>
      </c>
      <c r="AI38" s="223">
        <f>IFERROR((AH38-AE38)/AE38,0)</f>
        <v>6.8493150684931503E-2</v>
      </c>
      <c r="AJ38" s="71">
        <f>'Ανάλυση για νέους πελάτες'!H13</f>
        <v>16</v>
      </c>
      <c r="AK38" s="167">
        <f>AH38+AJ38</f>
        <v>484</v>
      </c>
      <c r="AL38" s="203">
        <f>IFERROR((AK38-AH38)/AH38,0)</f>
        <v>3.4188034188034191E-2</v>
      </c>
      <c r="AM38" s="198">
        <f>X38+AA38+AD38+AG38+AJ38</f>
        <v>458</v>
      </c>
      <c r="AN38" s="199">
        <f>IFERROR((AK38/Y38)^(1/4)-1,0)</f>
        <v>0.34476349606870649</v>
      </c>
    </row>
    <row r="39" spans="2:40" outlineLevel="1" x14ac:dyDescent="0.25">
      <c r="B39" s="52" t="s">
        <v>284</v>
      </c>
      <c r="C39" s="64" t="s">
        <v>22</v>
      </c>
      <c r="D39" s="71">
        <v>0</v>
      </c>
      <c r="E39" s="71">
        <v>0</v>
      </c>
      <c r="F39" s="71">
        <v>0</v>
      </c>
      <c r="G39" s="167">
        <f t="shared" si="147"/>
        <v>0</v>
      </c>
      <c r="H39" s="223">
        <f t="shared" si="148"/>
        <v>0</v>
      </c>
      <c r="I39" s="71">
        <v>0</v>
      </c>
      <c r="J39" s="167">
        <f t="shared" ref="J39:J41" si="153">G39+I39</f>
        <v>0</v>
      </c>
      <c r="K39" s="203">
        <f t="shared" ref="K39:K54" si="154">IFERROR((J39-G39)/G39,0)</f>
        <v>0</v>
      </c>
      <c r="L39" s="71">
        <v>0</v>
      </c>
      <c r="M39" s="167">
        <f t="shared" ref="M39:M41" si="155">J39+L39</f>
        <v>0</v>
      </c>
      <c r="N39" s="223">
        <f t="shared" ref="N39:N54" si="156">IFERROR((M39-J39)/J39,0)</f>
        <v>0</v>
      </c>
      <c r="O39" s="71"/>
      <c r="P39" s="161"/>
      <c r="Q39" s="161"/>
      <c r="R39" s="71"/>
      <c r="S39" s="167">
        <f t="shared" ref="S39:S41" si="157">M39+R39</f>
        <v>0</v>
      </c>
      <c r="T39" s="203">
        <f t="shared" ref="T39:T54" si="158">IFERROR((S39-M39)/M39,0)</f>
        <v>0</v>
      </c>
      <c r="U39" s="213">
        <f t="shared" si="149"/>
        <v>0</v>
      </c>
      <c r="V39" s="199">
        <f t="shared" si="150"/>
        <v>0</v>
      </c>
      <c r="X39" s="71">
        <f>'Ανάλυση για νέους πελάτες'!D14</f>
        <v>179</v>
      </c>
      <c r="Y39" s="167">
        <f t="shared" si="151"/>
        <v>179</v>
      </c>
      <c r="Z39" s="203">
        <f t="shared" si="152"/>
        <v>0</v>
      </c>
      <c r="AA39" s="70">
        <f>'Ανάλυση για νέους πελάτες'!E14</f>
        <v>260</v>
      </c>
      <c r="AB39" s="167">
        <f t="shared" ref="AB39:AB41" si="159">Y39+AA39</f>
        <v>439</v>
      </c>
      <c r="AC39" s="223">
        <f t="shared" ref="AC39:AC41" si="160">IFERROR((AB39-Y39)/Y39,0)</f>
        <v>1.4525139664804469</v>
      </c>
      <c r="AD39" s="71">
        <f>'Ανάλυση για νέους πελάτες'!F14</f>
        <v>254</v>
      </c>
      <c r="AE39" s="167">
        <f t="shared" ref="AE39:AE41" si="161">AB39+AD39</f>
        <v>693</v>
      </c>
      <c r="AF39" s="203">
        <f t="shared" ref="AF39:AF41" si="162">IFERROR((AE39-AB39)/AB39,0)</f>
        <v>0.57858769931662868</v>
      </c>
      <c r="AG39" s="70">
        <f>'Ανάλυση για νέους πελάτες'!G14</f>
        <v>68</v>
      </c>
      <c r="AH39" s="167">
        <f t="shared" ref="AH39:AH41" si="163">AE39+AG39</f>
        <v>761</v>
      </c>
      <c r="AI39" s="223">
        <f t="shared" ref="AI39:AI41" si="164">IFERROR((AH39-AE39)/AE39,0)</f>
        <v>9.8124098124098127E-2</v>
      </c>
      <c r="AJ39" s="71">
        <f>'Ανάλυση για νέους πελάτες'!H14</f>
        <v>14</v>
      </c>
      <c r="AK39" s="167">
        <f t="shared" ref="AK39:AK41" si="165">AH39+AJ39</f>
        <v>775</v>
      </c>
      <c r="AL39" s="203">
        <f t="shared" ref="AL39:AL41" si="166">IFERROR((AK39-AH39)/AH39,0)</f>
        <v>1.8396846254927726E-2</v>
      </c>
      <c r="AM39" s="198">
        <f t="shared" ref="AM39:AM41" si="167">X39+AA39+AD39+AG39+AJ39</f>
        <v>775</v>
      </c>
      <c r="AN39" s="199">
        <f t="shared" ref="AN39:AN54" si="168">IFERROR((AK39/Y39)^(1/4)-1,0)</f>
        <v>0.4424878635456142</v>
      </c>
    </row>
    <row r="40" spans="2:40" outlineLevel="1" x14ac:dyDescent="0.25">
      <c r="B40" s="52" t="s">
        <v>285</v>
      </c>
      <c r="C40" s="64" t="s">
        <v>22</v>
      </c>
      <c r="D40" s="71">
        <v>0</v>
      </c>
      <c r="E40" s="71">
        <v>0</v>
      </c>
      <c r="F40" s="71">
        <v>0</v>
      </c>
      <c r="G40" s="167">
        <f t="shared" si="147"/>
        <v>0</v>
      </c>
      <c r="H40" s="223">
        <f t="shared" si="148"/>
        <v>0</v>
      </c>
      <c r="I40" s="71">
        <v>0</v>
      </c>
      <c r="J40" s="167">
        <f t="shared" si="153"/>
        <v>0</v>
      </c>
      <c r="K40" s="203">
        <f t="shared" si="154"/>
        <v>0</v>
      </c>
      <c r="L40" s="71">
        <v>0</v>
      </c>
      <c r="M40" s="167">
        <f t="shared" si="155"/>
        <v>0</v>
      </c>
      <c r="N40" s="223">
        <f t="shared" si="156"/>
        <v>0</v>
      </c>
      <c r="O40" s="71"/>
      <c r="P40" s="161"/>
      <c r="Q40" s="161"/>
      <c r="R40" s="71"/>
      <c r="S40" s="167">
        <f t="shared" si="157"/>
        <v>0</v>
      </c>
      <c r="T40" s="203">
        <f t="shared" si="158"/>
        <v>0</v>
      </c>
      <c r="U40" s="213">
        <f t="shared" si="149"/>
        <v>0</v>
      </c>
      <c r="V40" s="199">
        <f t="shared" si="150"/>
        <v>0</v>
      </c>
      <c r="X40" s="71">
        <f>'Ανάλυση για νέους πελάτες'!D15</f>
        <v>168</v>
      </c>
      <c r="Y40" s="167">
        <f t="shared" si="151"/>
        <v>168</v>
      </c>
      <c r="Z40" s="203">
        <f t="shared" si="152"/>
        <v>0</v>
      </c>
      <c r="AA40" s="70">
        <f>'Ανάλυση για νέους πελάτες'!E15</f>
        <v>255</v>
      </c>
      <c r="AB40" s="167">
        <f t="shared" si="159"/>
        <v>423</v>
      </c>
      <c r="AC40" s="223">
        <f t="shared" si="160"/>
        <v>1.5178571428571428</v>
      </c>
      <c r="AD40" s="71">
        <f>'Ανάλυση για νέους πελάτες'!F15</f>
        <v>206</v>
      </c>
      <c r="AE40" s="167">
        <f t="shared" si="161"/>
        <v>629</v>
      </c>
      <c r="AF40" s="203">
        <f t="shared" si="162"/>
        <v>0.48699763593380613</v>
      </c>
      <c r="AG40" s="70">
        <f>'Ανάλυση για νέους πελάτες'!G15</f>
        <v>64</v>
      </c>
      <c r="AH40" s="167">
        <f t="shared" si="163"/>
        <v>693</v>
      </c>
      <c r="AI40" s="223">
        <f t="shared" si="164"/>
        <v>0.10174880763116058</v>
      </c>
      <c r="AJ40" s="71">
        <f>'Ανάλυση για νέους πελάτες'!H15</f>
        <v>32</v>
      </c>
      <c r="AK40" s="167">
        <f t="shared" si="165"/>
        <v>725</v>
      </c>
      <c r="AL40" s="203">
        <f t="shared" si="166"/>
        <v>4.6176046176046176E-2</v>
      </c>
      <c r="AM40" s="198">
        <f t="shared" si="167"/>
        <v>725</v>
      </c>
      <c r="AN40" s="199">
        <f t="shared" si="168"/>
        <v>0.44130927444356693</v>
      </c>
    </row>
    <row r="41" spans="2:40" ht="16.5" customHeight="1" outlineLevel="1" x14ac:dyDescent="0.25">
      <c r="B41" s="52" t="s">
        <v>286</v>
      </c>
      <c r="C41" s="64" t="s">
        <v>22</v>
      </c>
      <c r="D41" s="71">
        <v>0</v>
      </c>
      <c r="E41" s="71">
        <v>0</v>
      </c>
      <c r="F41" s="71">
        <v>0</v>
      </c>
      <c r="G41" s="167">
        <f t="shared" si="147"/>
        <v>0</v>
      </c>
      <c r="H41" s="223">
        <f t="shared" si="148"/>
        <v>0</v>
      </c>
      <c r="I41" s="71">
        <v>0</v>
      </c>
      <c r="J41" s="167">
        <f t="shared" si="153"/>
        <v>0</v>
      </c>
      <c r="K41" s="203">
        <f t="shared" si="154"/>
        <v>0</v>
      </c>
      <c r="L41" s="71">
        <v>0</v>
      </c>
      <c r="M41" s="167">
        <f t="shared" si="155"/>
        <v>0</v>
      </c>
      <c r="N41" s="223">
        <f t="shared" si="156"/>
        <v>0</v>
      </c>
      <c r="O41" s="71"/>
      <c r="P41" s="161"/>
      <c r="Q41" s="161"/>
      <c r="R41" s="71"/>
      <c r="S41" s="167">
        <f t="shared" si="157"/>
        <v>0</v>
      </c>
      <c r="T41" s="203">
        <f t="shared" si="158"/>
        <v>0</v>
      </c>
      <c r="U41" s="213">
        <f t="shared" si="149"/>
        <v>0</v>
      </c>
      <c r="V41" s="199">
        <f t="shared" si="150"/>
        <v>0</v>
      </c>
      <c r="X41" s="71">
        <f>'Ανάλυση για νέους πελάτες'!D16</f>
        <v>235</v>
      </c>
      <c r="Y41" s="167">
        <f t="shared" si="151"/>
        <v>235</v>
      </c>
      <c r="Z41" s="203">
        <f t="shared" si="152"/>
        <v>0</v>
      </c>
      <c r="AA41" s="70">
        <f>'Ανάλυση για νέους πελάτες'!E16</f>
        <v>1070</v>
      </c>
      <c r="AB41" s="167">
        <f t="shared" si="159"/>
        <v>1305</v>
      </c>
      <c r="AC41" s="223">
        <f t="shared" si="160"/>
        <v>4.5531914893617023</v>
      </c>
      <c r="AD41" s="71">
        <f>'Ανάλυση για νέους πελάτες'!F16</f>
        <v>810</v>
      </c>
      <c r="AE41" s="167">
        <f t="shared" si="161"/>
        <v>2115</v>
      </c>
      <c r="AF41" s="203">
        <f t="shared" si="162"/>
        <v>0.62068965517241381</v>
      </c>
      <c r="AG41" s="70">
        <f>'Ανάλυση για νέους πελάτες'!G16</f>
        <v>277</v>
      </c>
      <c r="AH41" s="167">
        <f t="shared" si="163"/>
        <v>2392</v>
      </c>
      <c r="AI41" s="223">
        <f t="shared" si="164"/>
        <v>0.1309692671394799</v>
      </c>
      <c r="AJ41" s="71">
        <f>'Ανάλυση για νέους πελάτες'!H16</f>
        <v>138</v>
      </c>
      <c r="AK41" s="167">
        <f t="shared" si="165"/>
        <v>2530</v>
      </c>
      <c r="AL41" s="203">
        <f t="shared" si="166"/>
        <v>5.7692307692307696E-2</v>
      </c>
      <c r="AM41" s="198">
        <f t="shared" si="167"/>
        <v>2530</v>
      </c>
      <c r="AN41" s="199">
        <f t="shared" si="168"/>
        <v>0.81139500042631907</v>
      </c>
    </row>
    <row r="42" spans="2:40" ht="16.5" customHeight="1" outlineLevel="1" x14ac:dyDescent="0.25">
      <c r="B42" s="52" t="s">
        <v>287</v>
      </c>
      <c r="C42" s="64" t="s">
        <v>22</v>
      </c>
      <c r="D42" s="71">
        <v>0</v>
      </c>
      <c r="E42" s="71">
        <v>0</v>
      </c>
      <c r="F42" s="71">
        <v>0</v>
      </c>
      <c r="G42" s="167">
        <f t="shared" ref="G42" si="169">E42+F42</f>
        <v>0</v>
      </c>
      <c r="H42" s="223">
        <f t="shared" ref="H42" si="170">IFERROR((G42-E42)/E42,0)</f>
        <v>0</v>
      </c>
      <c r="I42" s="71">
        <v>0</v>
      </c>
      <c r="J42" s="167">
        <f t="shared" ref="J42" si="171">G42+I42</f>
        <v>0</v>
      </c>
      <c r="K42" s="203">
        <f t="shared" ref="K42" si="172">IFERROR((J42-G42)/G42,0)</f>
        <v>0</v>
      </c>
      <c r="L42" s="71">
        <v>0</v>
      </c>
      <c r="M42" s="167">
        <f t="shared" ref="M42" si="173">J42+L42</f>
        <v>0</v>
      </c>
      <c r="N42" s="223">
        <f t="shared" ref="N42" si="174">IFERROR((M42-J42)/J42,0)</f>
        <v>0</v>
      </c>
      <c r="O42" s="71"/>
      <c r="P42" s="161"/>
      <c r="Q42" s="161"/>
      <c r="R42" s="71"/>
      <c r="S42" s="167">
        <f t="shared" ref="S42" si="175">M42+R42</f>
        <v>0</v>
      </c>
      <c r="T42" s="203">
        <f t="shared" ref="T42" si="176">IFERROR((S42-M42)/M42,0)</f>
        <v>0</v>
      </c>
      <c r="U42" s="213">
        <f t="shared" ref="U42" si="177">D42+F42+I42+L42+R42</f>
        <v>0</v>
      </c>
      <c r="V42" s="199">
        <f t="shared" ref="V42" si="178">IFERROR((S42/E42)^(1/4)-1,0)</f>
        <v>0</v>
      </c>
      <c r="X42" s="71">
        <f>'Ανάλυση για νέους πελάτες'!D17</f>
        <v>0</v>
      </c>
      <c r="Y42" s="167">
        <f t="shared" ref="Y42" si="179">S42+X42</f>
        <v>0</v>
      </c>
      <c r="Z42" s="203">
        <f t="shared" ref="Z42" si="180">IFERROR((Y42-S42)/S42,0)</f>
        <v>0</v>
      </c>
      <c r="AA42" s="70">
        <f>'Ανάλυση για νέους πελάτες'!E17</f>
        <v>800</v>
      </c>
      <c r="AB42" s="167">
        <f t="shared" ref="AB42" si="181">Y42+AA42</f>
        <v>800</v>
      </c>
      <c r="AC42" s="223">
        <f t="shared" ref="AC42" si="182">IFERROR((AB42-Y42)/Y42,0)</f>
        <v>0</v>
      </c>
      <c r="AD42" s="71">
        <f>'Ανάλυση για νέους πελάτες'!F17</f>
        <v>748</v>
      </c>
      <c r="AE42" s="167">
        <f t="shared" ref="AE42" si="183">AB42+AD42</f>
        <v>1548</v>
      </c>
      <c r="AF42" s="203">
        <f t="shared" ref="AF42" si="184">IFERROR((AE42-AB42)/AB42,0)</f>
        <v>0.93500000000000005</v>
      </c>
      <c r="AG42" s="70">
        <f>'Ανάλυση για νέους πελάτες'!G17</f>
        <v>686</v>
      </c>
      <c r="AH42" s="167">
        <f t="shared" ref="AH42" si="185">AE42+AG42</f>
        <v>2234</v>
      </c>
      <c r="AI42" s="223">
        <f t="shared" ref="AI42" si="186">IFERROR((AH42-AE42)/AE42,0)</f>
        <v>0.44315245478036175</v>
      </c>
      <c r="AJ42" s="71">
        <f>'Ανάλυση για νέους πελάτες'!H17</f>
        <v>344</v>
      </c>
      <c r="AK42" s="167">
        <f t="shared" ref="AK42" si="187">AH42+AJ42</f>
        <v>2578</v>
      </c>
      <c r="AL42" s="203">
        <f t="shared" ref="AL42" si="188">IFERROR((AK42-AH42)/AH42,0)</f>
        <v>0.15398388540734109</v>
      </c>
      <c r="AM42" s="198">
        <f t="shared" ref="AM42" si="189">X42+AA42+AD42+AG42+AJ42</f>
        <v>2578</v>
      </c>
      <c r="AN42" s="199">
        <f t="shared" ref="AN42" si="190">IFERROR((AK42/Y42)^(1/4)-1,0)</f>
        <v>0</v>
      </c>
    </row>
    <row r="43" spans="2:40" ht="16.5" customHeight="1" outlineLevel="1" x14ac:dyDescent="0.25">
      <c r="B43" s="52" t="s">
        <v>288</v>
      </c>
      <c r="C43" s="64" t="s">
        <v>22</v>
      </c>
      <c r="D43" s="71">
        <v>0</v>
      </c>
      <c r="E43" s="71">
        <v>0</v>
      </c>
      <c r="F43" s="71">
        <v>0</v>
      </c>
      <c r="G43" s="167">
        <f t="shared" ref="G43:G44" si="191">E43+F43</f>
        <v>0</v>
      </c>
      <c r="H43" s="223">
        <f t="shared" ref="H43:H44" si="192">IFERROR((G43-E43)/E43,0)</f>
        <v>0</v>
      </c>
      <c r="I43" s="71">
        <v>0</v>
      </c>
      <c r="J43" s="167">
        <f t="shared" ref="J43:J44" si="193">G43+I43</f>
        <v>0</v>
      </c>
      <c r="K43" s="203">
        <f t="shared" ref="K43:K44" si="194">IFERROR((J43-G43)/G43,0)</f>
        <v>0</v>
      </c>
      <c r="L43" s="71">
        <v>0</v>
      </c>
      <c r="M43" s="167">
        <f t="shared" ref="M43:M44" si="195">J43+L43</f>
        <v>0</v>
      </c>
      <c r="N43" s="223">
        <f t="shared" ref="N43:N44" si="196">IFERROR((M43-J43)/J43,0)</f>
        <v>0</v>
      </c>
      <c r="O43" s="71"/>
      <c r="P43" s="161"/>
      <c r="Q43" s="161"/>
      <c r="R43" s="71"/>
      <c r="S43" s="167">
        <f t="shared" ref="S43:S44" si="197">M43+R43</f>
        <v>0</v>
      </c>
      <c r="T43" s="203">
        <f t="shared" ref="T43:T44" si="198">IFERROR((S43-M43)/M43,0)</f>
        <v>0</v>
      </c>
      <c r="U43" s="213">
        <f t="shared" ref="U43:U44" si="199">D43+F43+I43+L43+R43</f>
        <v>0</v>
      </c>
      <c r="V43" s="199">
        <f t="shared" ref="V43:V44" si="200">IFERROR((S43/E43)^(1/4)-1,0)</f>
        <v>0</v>
      </c>
      <c r="X43" s="71">
        <f>'Ανάλυση για νέους πελάτες'!D18</f>
        <v>195</v>
      </c>
      <c r="Y43" s="167">
        <f t="shared" ref="Y43:Y44" si="201">S43+X43</f>
        <v>195</v>
      </c>
      <c r="Z43" s="203">
        <f t="shared" ref="Z43:Z44" si="202">IFERROR((Y43-S43)/S43,0)</f>
        <v>0</v>
      </c>
      <c r="AA43" s="70">
        <f>'Ανάλυση για νέους πελάτες'!E18</f>
        <v>360</v>
      </c>
      <c r="AB43" s="167">
        <f t="shared" ref="AB43:AB44" si="203">Y43+AA43</f>
        <v>555</v>
      </c>
      <c r="AC43" s="223">
        <f t="shared" ref="AC43:AC44" si="204">IFERROR((AB43-Y43)/Y43,0)</f>
        <v>1.8461538461538463</v>
      </c>
      <c r="AD43" s="71">
        <f>'Ανάλυση για νέους πελάτες'!F18</f>
        <v>218</v>
      </c>
      <c r="AE43" s="167">
        <f t="shared" ref="AE43:AE44" si="205">AB43+AD43</f>
        <v>773</v>
      </c>
      <c r="AF43" s="203">
        <f t="shared" ref="AF43:AF44" si="206">IFERROR((AE43-AB43)/AB43,0)</f>
        <v>0.39279279279279278</v>
      </c>
      <c r="AG43" s="70">
        <f>'Ανάλυση για νέους πελάτες'!G18</f>
        <v>50</v>
      </c>
      <c r="AH43" s="167">
        <f t="shared" ref="AH43:AH44" si="207">AE43+AG43</f>
        <v>823</v>
      </c>
      <c r="AI43" s="223">
        <f t="shared" ref="AI43:AI44" si="208">IFERROR((AH43-AE43)/AE43,0)</f>
        <v>6.4683053040103494E-2</v>
      </c>
      <c r="AJ43" s="71">
        <f>'Ανάλυση για νέους πελάτες'!H18</f>
        <v>25</v>
      </c>
      <c r="AK43" s="167">
        <f t="shared" ref="AK43:AK44" si="209">AH43+AJ43</f>
        <v>848</v>
      </c>
      <c r="AL43" s="203">
        <f t="shared" ref="AL43:AL44" si="210">IFERROR((AK43-AH43)/AH43,0)</f>
        <v>3.0376670716889428E-2</v>
      </c>
      <c r="AM43" s="198">
        <f t="shared" ref="AM43:AM44" si="211">X43+AA43+AD43+AG43+AJ43</f>
        <v>848</v>
      </c>
      <c r="AN43" s="199">
        <f t="shared" ref="AN43:AN44" si="212">IFERROR((AK43/Y43)^(1/4)-1,0)</f>
        <v>0.44407686448545358</v>
      </c>
    </row>
    <row r="44" spans="2:40" ht="16.5" customHeight="1" outlineLevel="1" x14ac:dyDescent="0.25">
      <c r="B44" s="52" t="s">
        <v>289</v>
      </c>
      <c r="C44" s="64" t="s">
        <v>22</v>
      </c>
      <c r="D44" s="71">
        <v>0</v>
      </c>
      <c r="E44" s="71">
        <v>0</v>
      </c>
      <c r="F44" s="71">
        <v>0</v>
      </c>
      <c r="G44" s="167">
        <f t="shared" si="191"/>
        <v>0</v>
      </c>
      <c r="H44" s="223">
        <f t="shared" si="192"/>
        <v>0</v>
      </c>
      <c r="I44" s="71">
        <v>0</v>
      </c>
      <c r="J44" s="167">
        <f t="shared" si="193"/>
        <v>0</v>
      </c>
      <c r="K44" s="203">
        <f t="shared" si="194"/>
        <v>0</v>
      </c>
      <c r="L44" s="71">
        <v>0</v>
      </c>
      <c r="M44" s="167">
        <f t="shared" si="195"/>
        <v>0</v>
      </c>
      <c r="N44" s="223">
        <f t="shared" si="196"/>
        <v>0</v>
      </c>
      <c r="O44" s="71"/>
      <c r="P44" s="161"/>
      <c r="Q44" s="161"/>
      <c r="R44" s="71"/>
      <c r="S44" s="167">
        <f t="shared" si="197"/>
        <v>0</v>
      </c>
      <c r="T44" s="203">
        <f t="shared" si="198"/>
        <v>0</v>
      </c>
      <c r="U44" s="213">
        <f t="shared" si="199"/>
        <v>0</v>
      </c>
      <c r="V44" s="199">
        <f t="shared" si="200"/>
        <v>0</v>
      </c>
      <c r="X44" s="71">
        <f>'Ανάλυση για νέους πελάτες'!D19</f>
        <v>274</v>
      </c>
      <c r="Y44" s="167">
        <f t="shared" si="201"/>
        <v>274</v>
      </c>
      <c r="Z44" s="203">
        <f t="shared" si="202"/>
        <v>0</v>
      </c>
      <c r="AA44" s="70">
        <f>'Ανάλυση για νέους πελάτες'!E19</f>
        <v>1449</v>
      </c>
      <c r="AB44" s="167">
        <f t="shared" si="203"/>
        <v>1723</v>
      </c>
      <c r="AC44" s="223">
        <f t="shared" si="204"/>
        <v>5.288321167883212</v>
      </c>
      <c r="AD44" s="71">
        <f>'Ανάλυση για νέους πελάτες'!F19</f>
        <v>1050</v>
      </c>
      <c r="AE44" s="167">
        <f t="shared" si="205"/>
        <v>2773</v>
      </c>
      <c r="AF44" s="203">
        <f t="shared" si="206"/>
        <v>0.60940220545560064</v>
      </c>
      <c r="AG44" s="70">
        <f>'Ανάλυση για νέους πελάτες'!G19</f>
        <v>1050</v>
      </c>
      <c r="AH44" s="167">
        <f t="shared" si="207"/>
        <v>3823</v>
      </c>
      <c r="AI44" s="223">
        <f t="shared" si="208"/>
        <v>0.37865128020194733</v>
      </c>
      <c r="AJ44" s="71">
        <f>'Ανάλυση για νέους πελάτες'!H19</f>
        <v>525</v>
      </c>
      <c r="AK44" s="167">
        <f t="shared" si="209"/>
        <v>4348</v>
      </c>
      <c r="AL44" s="203">
        <f t="shared" si="210"/>
        <v>0.1373267067747842</v>
      </c>
      <c r="AM44" s="198">
        <f t="shared" si="211"/>
        <v>4348</v>
      </c>
      <c r="AN44" s="199">
        <f t="shared" si="212"/>
        <v>0.99588145623801028</v>
      </c>
    </row>
    <row r="45" spans="2:40" ht="16.5" customHeight="1" outlineLevel="1" x14ac:dyDescent="0.25">
      <c r="B45" s="52" t="s">
        <v>290</v>
      </c>
      <c r="C45" s="64" t="s">
        <v>22</v>
      </c>
      <c r="D45" s="71">
        <v>0</v>
      </c>
      <c r="E45" s="71">
        <v>0</v>
      </c>
      <c r="F45" s="71">
        <v>0</v>
      </c>
      <c r="G45" s="167">
        <f t="shared" ref="G45" si="213">E45+F45</f>
        <v>0</v>
      </c>
      <c r="H45" s="223">
        <f t="shared" ref="H45" si="214">IFERROR((G45-E45)/E45,0)</f>
        <v>0</v>
      </c>
      <c r="I45" s="71">
        <v>0</v>
      </c>
      <c r="J45" s="167">
        <f t="shared" ref="J45" si="215">G45+I45</f>
        <v>0</v>
      </c>
      <c r="K45" s="203">
        <f t="shared" ref="K45" si="216">IFERROR((J45-G45)/G45,0)</f>
        <v>0</v>
      </c>
      <c r="L45" s="71">
        <v>0</v>
      </c>
      <c r="M45" s="167">
        <f t="shared" ref="M45" si="217">J45+L45</f>
        <v>0</v>
      </c>
      <c r="N45" s="223">
        <f t="shared" ref="N45" si="218">IFERROR((M45-J45)/J45,0)</f>
        <v>0</v>
      </c>
      <c r="O45" s="71"/>
      <c r="P45" s="161"/>
      <c r="Q45" s="161"/>
      <c r="R45" s="71"/>
      <c r="S45" s="167">
        <f t="shared" ref="S45" si="219">M45+R45</f>
        <v>0</v>
      </c>
      <c r="T45" s="203">
        <f t="shared" ref="T45" si="220">IFERROR((S45-M45)/M45,0)</f>
        <v>0</v>
      </c>
      <c r="U45" s="213">
        <f t="shared" ref="U45" si="221">D45+F45+I45+L45+R45</f>
        <v>0</v>
      </c>
      <c r="V45" s="199">
        <f t="shared" ref="V45" si="222">IFERROR((S45/E45)^(1/4)-1,0)</f>
        <v>0</v>
      </c>
      <c r="X45" s="71">
        <f>'Ανάλυση για νέους πελάτες'!D20</f>
        <v>362</v>
      </c>
      <c r="Y45" s="167">
        <f t="shared" ref="Y45" si="223">S45+X45</f>
        <v>362</v>
      </c>
      <c r="Z45" s="203">
        <f t="shared" ref="Z45" si="224">IFERROR((Y45-S45)/S45,0)</f>
        <v>0</v>
      </c>
      <c r="AA45" s="70">
        <f>'Ανάλυση για νέους πελάτες'!E20</f>
        <v>1399</v>
      </c>
      <c r="AB45" s="167">
        <f t="shared" ref="AB45" si="225">Y45+AA45</f>
        <v>1761</v>
      </c>
      <c r="AC45" s="223">
        <f t="shared" ref="AC45" si="226">IFERROR((AB45-Y45)/Y45,0)</f>
        <v>3.8646408839779007</v>
      </c>
      <c r="AD45" s="71">
        <f>'Ανάλυση για νέους πελάτες'!F20</f>
        <v>1229</v>
      </c>
      <c r="AE45" s="167">
        <f t="shared" ref="AE45" si="227">AB45+AD45</f>
        <v>2990</v>
      </c>
      <c r="AF45" s="203">
        <f t="shared" ref="AF45" si="228">IFERROR((AE45-AB45)/AB45,0)</f>
        <v>0.69789892106757523</v>
      </c>
      <c r="AG45" s="70">
        <f>'Ανάλυση για νέους πελάτες'!G20</f>
        <v>1050</v>
      </c>
      <c r="AH45" s="167">
        <f t="shared" ref="AH45" si="229">AE45+AG45</f>
        <v>4040</v>
      </c>
      <c r="AI45" s="223">
        <f t="shared" ref="AI45" si="230">IFERROR((AH45-AE45)/AE45,0)</f>
        <v>0.3511705685618729</v>
      </c>
      <c r="AJ45" s="71">
        <f>'Ανάλυση για νέους πελάτες'!H20</f>
        <v>525</v>
      </c>
      <c r="AK45" s="167">
        <f t="shared" ref="AK45" si="231">AH45+AJ45</f>
        <v>4565</v>
      </c>
      <c r="AL45" s="203">
        <f t="shared" ref="AL45" si="232">IFERROR((AK45-AH45)/AH45,0)</f>
        <v>0.12995049504950495</v>
      </c>
      <c r="AM45" s="198">
        <f t="shared" ref="AM45" si="233">X45+AA45+AD45+AG45+AJ45</f>
        <v>4565</v>
      </c>
      <c r="AN45" s="199">
        <f t="shared" ref="AN45" si="234">IFERROR((AK45/Y45)^(1/4)-1,0)</f>
        <v>0.88444320499540141</v>
      </c>
    </row>
    <row r="46" spans="2:40" ht="16.5" customHeight="1" outlineLevel="1" x14ac:dyDescent="0.25">
      <c r="B46" s="52" t="s">
        <v>291</v>
      </c>
      <c r="C46" s="64" t="s">
        <v>22</v>
      </c>
      <c r="D46" s="71">
        <v>0</v>
      </c>
      <c r="E46" s="71">
        <v>0</v>
      </c>
      <c r="F46" s="71">
        <v>0</v>
      </c>
      <c r="G46" s="167">
        <f t="shared" ref="G46" si="235">E46+F46</f>
        <v>0</v>
      </c>
      <c r="H46" s="223">
        <f t="shared" ref="H46:H52" si="236">IFERROR((G46-E46)/E46,0)</f>
        <v>0</v>
      </c>
      <c r="I46" s="71">
        <v>0</v>
      </c>
      <c r="J46" s="167">
        <f t="shared" ref="J46" si="237">G46+I46</f>
        <v>0</v>
      </c>
      <c r="K46" s="203">
        <f t="shared" ref="K46:K52" si="238">IFERROR((J46-G46)/G46,0)</f>
        <v>0</v>
      </c>
      <c r="L46" s="71">
        <v>0</v>
      </c>
      <c r="M46" s="167">
        <f t="shared" ref="M46" si="239">J46+L46</f>
        <v>0</v>
      </c>
      <c r="N46" s="223">
        <f t="shared" ref="N46:N52" si="240">IFERROR((M46-J46)/J46,0)</f>
        <v>0</v>
      </c>
      <c r="O46" s="71">
        <v>37</v>
      </c>
      <c r="P46" s="161"/>
      <c r="Q46" s="161"/>
      <c r="R46" s="71">
        <v>1158</v>
      </c>
      <c r="S46" s="167">
        <f t="shared" ref="S46" si="241">M46+R46</f>
        <v>1158</v>
      </c>
      <c r="T46" s="203">
        <f t="shared" ref="T46:T52" si="242">IFERROR((S46-M46)/M46,0)</f>
        <v>0</v>
      </c>
      <c r="U46" s="213">
        <f t="shared" ref="U46" si="243">D46+F46+I46+L46+R46</f>
        <v>1158</v>
      </c>
      <c r="V46" s="199">
        <f t="shared" ref="V46:V52" si="244">IFERROR((S46/E46)^(1/4)-1,0)</f>
        <v>0</v>
      </c>
      <c r="X46" s="71">
        <f>'Ανάλυση για νέους πελάτες'!D21</f>
        <v>147</v>
      </c>
      <c r="Y46" s="167">
        <f t="shared" ref="Y46:Y49" si="245">S46+X46</f>
        <v>1305</v>
      </c>
      <c r="Z46" s="203">
        <f t="shared" ref="Z46:Z52" si="246">IFERROR((Y46-S46)/S46,0)</f>
        <v>0.12694300518134716</v>
      </c>
      <c r="AA46" s="70">
        <f>'Ανάλυση για νέους πελάτες'!E21</f>
        <v>111</v>
      </c>
      <c r="AB46" s="167">
        <f t="shared" ref="AB46:AB49" si="247">Y46+AA46</f>
        <v>1416</v>
      </c>
      <c r="AC46" s="223">
        <f t="shared" ref="AC46:AC52" si="248">IFERROR((AB46-Y46)/Y46,0)</f>
        <v>8.5057471264367815E-2</v>
      </c>
      <c r="AD46" s="71">
        <f>'Ανάλυση για νέους πελάτες'!F21</f>
        <v>25</v>
      </c>
      <c r="AE46" s="167">
        <f t="shared" ref="AE46:AE50" si="249">AB46+AD46</f>
        <v>1441</v>
      </c>
      <c r="AF46" s="203">
        <f t="shared" ref="AF46:AF52" si="250">IFERROR((AE46-AB46)/AB46,0)</f>
        <v>1.7655367231638418E-2</v>
      </c>
      <c r="AG46" s="70">
        <f>'Ανάλυση για νέους πελάτες'!G21</f>
        <v>25</v>
      </c>
      <c r="AH46" s="167">
        <f t="shared" ref="AH46:AH49" si="251">AE46+AG46</f>
        <v>1466</v>
      </c>
      <c r="AI46" s="223">
        <f t="shared" ref="AI46:AI52" si="252">IFERROR((AH46-AE46)/AE46,0)</f>
        <v>1.7349063150589868E-2</v>
      </c>
      <c r="AJ46" s="71">
        <f>'Ανάλυση για νέους πελάτες'!H21</f>
        <v>17</v>
      </c>
      <c r="AK46" s="167">
        <f t="shared" ref="AK46:AK49" si="253">AH46+AJ46</f>
        <v>1483</v>
      </c>
      <c r="AL46" s="203">
        <f t="shared" ref="AL46:AL52" si="254">IFERROR((AK46-AH46)/AH46,0)</f>
        <v>1.1596180081855388E-2</v>
      </c>
      <c r="AM46" s="198">
        <f t="shared" ref="AM46:AM51" si="255">X46+AA46+AD46+AG46+AJ46</f>
        <v>325</v>
      </c>
      <c r="AN46" s="199">
        <f t="shared" ref="AN46:AN52" si="256">IFERROR((AK46/Y46)^(1/4)-1,0)</f>
        <v>3.2482406083759185E-2</v>
      </c>
    </row>
    <row r="47" spans="2:40" ht="16.5" customHeight="1" outlineLevel="1" x14ac:dyDescent="0.25">
      <c r="B47" s="52" t="s">
        <v>307</v>
      </c>
      <c r="C47" s="64"/>
      <c r="D47" s="71"/>
      <c r="E47" s="71"/>
      <c r="F47" s="71"/>
      <c r="G47" s="167"/>
      <c r="H47" s="223">
        <f t="shared" si="236"/>
        <v>0</v>
      </c>
      <c r="I47" s="71"/>
      <c r="J47" s="167"/>
      <c r="K47" s="203">
        <f t="shared" si="238"/>
        <v>0</v>
      </c>
      <c r="L47" s="71"/>
      <c r="M47" s="167"/>
      <c r="N47" s="223">
        <f t="shared" si="240"/>
        <v>0</v>
      </c>
      <c r="O47" s="71"/>
      <c r="P47" s="161"/>
      <c r="Q47" s="161"/>
      <c r="R47" s="71"/>
      <c r="S47" s="167"/>
      <c r="T47" s="203">
        <f t="shared" si="242"/>
        <v>0</v>
      </c>
      <c r="U47" s="213"/>
      <c r="V47" s="199">
        <f t="shared" si="244"/>
        <v>0</v>
      </c>
      <c r="X47" s="71">
        <f>'Ανάλυση για νέους πελάτες'!D22</f>
        <v>55</v>
      </c>
      <c r="Y47" s="167">
        <f t="shared" si="245"/>
        <v>55</v>
      </c>
      <c r="Z47" s="203">
        <f t="shared" si="246"/>
        <v>0</v>
      </c>
      <c r="AA47" s="70">
        <f>'Ανάλυση για νέους πελάτες'!E22</f>
        <v>85</v>
      </c>
      <c r="AB47" s="167">
        <f t="shared" si="247"/>
        <v>140</v>
      </c>
      <c r="AC47" s="223">
        <f t="shared" si="248"/>
        <v>1.5454545454545454</v>
      </c>
      <c r="AD47" s="71">
        <f>'Ανάλυση για νέους πελάτες'!F22</f>
        <v>90</v>
      </c>
      <c r="AE47" s="167">
        <f t="shared" si="249"/>
        <v>230</v>
      </c>
      <c r="AF47" s="203">
        <f t="shared" si="250"/>
        <v>0.6428571428571429</v>
      </c>
      <c r="AG47" s="70">
        <f>'Ανάλυση για νέους πελάτες'!G22</f>
        <v>55</v>
      </c>
      <c r="AH47" s="167">
        <f t="shared" si="251"/>
        <v>285</v>
      </c>
      <c r="AI47" s="223">
        <f t="shared" si="252"/>
        <v>0.2391304347826087</v>
      </c>
      <c r="AJ47" s="71">
        <f>'Ανάλυση για νέους πελάτες'!H22</f>
        <v>45</v>
      </c>
      <c r="AK47" s="167">
        <f t="shared" si="253"/>
        <v>330</v>
      </c>
      <c r="AL47" s="203">
        <f t="shared" si="254"/>
        <v>0.15789473684210525</v>
      </c>
      <c r="AM47" s="198">
        <f t="shared" si="255"/>
        <v>330</v>
      </c>
      <c r="AN47" s="199">
        <f t="shared" si="256"/>
        <v>0.56508458007328732</v>
      </c>
    </row>
    <row r="48" spans="2:40" ht="16.5" customHeight="1" outlineLevel="1" x14ac:dyDescent="0.25">
      <c r="B48" s="52" t="s">
        <v>304</v>
      </c>
      <c r="C48" s="64"/>
      <c r="D48" s="71"/>
      <c r="E48" s="71"/>
      <c r="F48" s="71"/>
      <c r="G48" s="167"/>
      <c r="H48" s="223">
        <f t="shared" si="236"/>
        <v>0</v>
      </c>
      <c r="I48" s="71"/>
      <c r="J48" s="167"/>
      <c r="K48" s="203">
        <f t="shared" si="238"/>
        <v>0</v>
      </c>
      <c r="L48" s="71"/>
      <c r="M48" s="167"/>
      <c r="N48" s="223">
        <f t="shared" si="240"/>
        <v>0</v>
      </c>
      <c r="O48" s="71"/>
      <c r="P48" s="161"/>
      <c r="Q48" s="161"/>
      <c r="R48" s="71"/>
      <c r="S48" s="167"/>
      <c r="T48" s="203">
        <f t="shared" si="242"/>
        <v>0</v>
      </c>
      <c r="U48" s="213"/>
      <c r="V48" s="199">
        <f t="shared" si="244"/>
        <v>0</v>
      </c>
      <c r="X48" s="71">
        <f>'Ανάλυση για νέους πελάτες'!D23</f>
        <v>55</v>
      </c>
      <c r="Y48" s="167">
        <f t="shared" si="245"/>
        <v>55</v>
      </c>
      <c r="Z48" s="203">
        <f t="shared" si="246"/>
        <v>0</v>
      </c>
      <c r="AA48" s="70">
        <f>'Ανάλυση για νέους πελάτες'!E23</f>
        <v>85</v>
      </c>
      <c r="AB48" s="167">
        <f t="shared" si="247"/>
        <v>140</v>
      </c>
      <c r="AC48" s="223">
        <f t="shared" si="248"/>
        <v>1.5454545454545454</v>
      </c>
      <c r="AD48" s="71">
        <f>'Ανάλυση για νέους πελάτες'!F23</f>
        <v>140</v>
      </c>
      <c r="AE48" s="167">
        <f t="shared" si="249"/>
        <v>280</v>
      </c>
      <c r="AF48" s="203">
        <f t="shared" si="250"/>
        <v>1</v>
      </c>
      <c r="AG48" s="70">
        <f>'Ανάλυση για νέους πελάτες'!G23</f>
        <v>65</v>
      </c>
      <c r="AH48" s="167">
        <f t="shared" si="251"/>
        <v>345</v>
      </c>
      <c r="AI48" s="223">
        <f t="shared" si="252"/>
        <v>0.23214285714285715</v>
      </c>
      <c r="AJ48" s="71">
        <f>'Ανάλυση για νέους πελάτες'!H23</f>
        <v>45</v>
      </c>
      <c r="AK48" s="167">
        <f t="shared" si="253"/>
        <v>390</v>
      </c>
      <c r="AL48" s="203">
        <f t="shared" si="254"/>
        <v>0.13043478260869565</v>
      </c>
      <c r="AM48" s="198">
        <f t="shared" si="255"/>
        <v>390</v>
      </c>
      <c r="AN48" s="199">
        <f t="shared" si="256"/>
        <v>0.63183212794569754</v>
      </c>
    </row>
    <row r="49" spans="2:40" ht="16.5" customHeight="1" outlineLevel="1" x14ac:dyDescent="0.25">
      <c r="B49" s="52" t="s">
        <v>305</v>
      </c>
      <c r="C49" s="64"/>
      <c r="D49" s="71"/>
      <c r="E49" s="71"/>
      <c r="F49" s="71"/>
      <c r="G49" s="167"/>
      <c r="H49" s="223">
        <f t="shared" si="236"/>
        <v>0</v>
      </c>
      <c r="I49" s="71"/>
      <c r="J49" s="167"/>
      <c r="K49" s="203">
        <f t="shared" si="238"/>
        <v>0</v>
      </c>
      <c r="L49" s="71"/>
      <c r="M49" s="167"/>
      <c r="N49" s="223">
        <f t="shared" si="240"/>
        <v>0</v>
      </c>
      <c r="O49" s="71"/>
      <c r="P49" s="161"/>
      <c r="Q49" s="161"/>
      <c r="R49" s="71"/>
      <c r="S49" s="167"/>
      <c r="T49" s="203">
        <f t="shared" si="242"/>
        <v>0</v>
      </c>
      <c r="U49" s="213"/>
      <c r="V49" s="199">
        <f t="shared" si="244"/>
        <v>0</v>
      </c>
      <c r="X49" s="71">
        <f>'Ανάλυση για νέους πελάτες'!D24</f>
        <v>55</v>
      </c>
      <c r="Y49" s="167">
        <f t="shared" si="245"/>
        <v>55</v>
      </c>
      <c r="Z49" s="203">
        <f t="shared" si="246"/>
        <v>0</v>
      </c>
      <c r="AA49" s="70">
        <f>'Ανάλυση για νέους πελάτες'!E24</f>
        <v>85</v>
      </c>
      <c r="AB49" s="167">
        <f t="shared" si="247"/>
        <v>140</v>
      </c>
      <c r="AC49" s="223">
        <f t="shared" si="248"/>
        <v>1.5454545454545454</v>
      </c>
      <c r="AD49" s="71">
        <f>'Ανάλυση για νέους πελάτες'!F24</f>
        <v>120</v>
      </c>
      <c r="AE49" s="167">
        <f t="shared" si="249"/>
        <v>260</v>
      </c>
      <c r="AF49" s="203">
        <f t="shared" si="250"/>
        <v>0.8571428571428571</v>
      </c>
      <c r="AG49" s="70">
        <f>'Ανάλυση για νέους πελάτες'!G24</f>
        <v>55</v>
      </c>
      <c r="AH49" s="167">
        <f t="shared" si="251"/>
        <v>315</v>
      </c>
      <c r="AI49" s="223">
        <f t="shared" si="252"/>
        <v>0.21153846153846154</v>
      </c>
      <c r="AJ49" s="71">
        <f>'Ανάλυση για νέους πελάτες'!H24</f>
        <v>45</v>
      </c>
      <c r="AK49" s="167">
        <f t="shared" si="253"/>
        <v>360</v>
      </c>
      <c r="AL49" s="203">
        <f t="shared" si="254"/>
        <v>0.14285714285714285</v>
      </c>
      <c r="AM49" s="198">
        <f t="shared" si="255"/>
        <v>360</v>
      </c>
      <c r="AN49" s="199">
        <f t="shared" si="256"/>
        <v>0.59950260902173125</v>
      </c>
    </row>
    <row r="50" spans="2:40" ht="16.5" customHeight="1" outlineLevel="1" x14ac:dyDescent="0.25">
      <c r="B50" s="52" t="s">
        <v>306</v>
      </c>
      <c r="C50" s="64"/>
      <c r="D50" s="71"/>
      <c r="E50" s="71"/>
      <c r="F50" s="71"/>
      <c r="G50" s="167"/>
      <c r="H50" s="223">
        <f t="shared" si="236"/>
        <v>0</v>
      </c>
      <c r="I50" s="71"/>
      <c r="J50" s="167"/>
      <c r="K50" s="203">
        <f t="shared" si="238"/>
        <v>0</v>
      </c>
      <c r="L50" s="71"/>
      <c r="M50" s="167"/>
      <c r="N50" s="223">
        <f t="shared" si="240"/>
        <v>0</v>
      </c>
      <c r="O50" s="71"/>
      <c r="P50" s="161"/>
      <c r="Q50" s="161"/>
      <c r="R50" s="71"/>
      <c r="S50" s="167"/>
      <c r="T50" s="203">
        <f t="shared" si="242"/>
        <v>0</v>
      </c>
      <c r="U50" s="213"/>
      <c r="V50" s="199">
        <f t="shared" si="244"/>
        <v>0</v>
      </c>
      <c r="X50" s="71">
        <f>'Ανάλυση για νέους πελάτες'!D25</f>
        <v>106</v>
      </c>
      <c r="Y50" s="167">
        <f t="shared" ref="Y50:Y51" si="257">S50+X50</f>
        <v>106</v>
      </c>
      <c r="Z50" s="203">
        <f t="shared" si="246"/>
        <v>0</v>
      </c>
      <c r="AA50" s="70">
        <f>'Ανάλυση για νέους πελάτες'!E25</f>
        <v>124</v>
      </c>
      <c r="AB50" s="167">
        <f t="shared" ref="AB50:AB51" si="258">Y50+AA50</f>
        <v>230</v>
      </c>
      <c r="AC50" s="223">
        <f t="shared" si="248"/>
        <v>1.1698113207547169</v>
      </c>
      <c r="AD50" s="71">
        <f>'Ανάλυση για νέους πελάτες'!F25</f>
        <v>162</v>
      </c>
      <c r="AE50" s="167">
        <f t="shared" si="249"/>
        <v>392</v>
      </c>
      <c r="AF50" s="203">
        <f t="shared" si="250"/>
        <v>0.70434782608695656</v>
      </c>
      <c r="AG50" s="70">
        <f>'Ανάλυση για νέους πελάτες'!G25</f>
        <v>159</v>
      </c>
      <c r="AH50" s="167">
        <f t="shared" ref="AH50:AH51" si="259">AE50+AG50</f>
        <v>551</v>
      </c>
      <c r="AI50" s="223">
        <f t="shared" si="252"/>
        <v>0.40561224489795916</v>
      </c>
      <c r="AJ50" s="71">
        <f>'Ανάλυση για νέους πελάτες'!H25</f>
        <v>100</v>
      </c>
      <c r="AK50" s="167">
        <f t="shared" ref="AK50:AK51" si="260">AH50+AJ50</f>
        <v>651</v>
      </c>
      <c r="AL50" s="203">
        <f t="shared" si="254"/>
        <v>0.18148820326678766</v>
      </c>
      <c r="AM50" s="198">
        <f t="shared" si="255"/>
        <v>651</v>
      </c>
      <c r="AN50" s="199">
        <f t="shared" si="256"/>
        <v>0.57423216170350977</v>
      </c>
    </row>
    <row r="51" spans="2:40" ht="16.5" customHeight="1" outlineLevel="1" x14ac:dyDescent="0.25">
      <c r="B51" s="52" t="s">
        <v>308</v>
      </c>
      <c r="C51" s="64"/>
      <c r="D51" s="71"/>
      <c r="E51" s="71"/>
      <c r="F51" s="71"/>
      <c r="G51" s="167"/>
      <c r="H51" s="223">
        <f t="shared" si="236"/>
        <v>0</v>
      </c>
      <c r="I51" s="71"/>
      <c r="J51" s="167"/>
      <c r="K51" s="203">
        <f t="shared" si="238"/>
        <v>0</v>
      </c>
      <c r="L51" s="71"/>
      <c r="M51" s="167"/>
      <c r="N51" s="223">
        <f t="shared" si="240"/>
        <v>0</v>
      </c>
      <c r="O51" s="71"/>
      <c r="P51" s="161"/>
      <c r="Q51" s="161"/>
      <c r="R51" s="71"/>
      <c r="S51" s="167"/>
      <c r="T51" s="203">
        <f t="shared" si="242"/>
        <v>0</v>
      </c>
      <c r="U51" s="213"/>
      <c r="V51" s="199">
        <f t="shared" si="244"/>
        <v>0</v>
      </c>
      <c r="X51" s="71">
        <f>'Ανάλυση για νέους πελάτες'!D26</f>
        <v>85</v>
      </c>
      <c r="Y51" s="167">
        <f t="shared" si="257"/>
        <v>85</v>
      </c>
      <c r="Z51" s="203">
        <f t="shared" si="246"/>
        <v>0</v>
      </c>
      <c r="AA51" s="70">
        <f>'Ανάλυση για νέους πελάτες'!E26</f>
        <v>100</v>
      </c>
      <c r="AB51" s="167">
        <f t="shared" si="258"/>
        <v>185</v>
      </c>
      <c r="AC51" s="223">
        <f t="shared" si="248"/>
        <v>1.1764705882352942</v>
      </c>
      <c r="AD51" s="71">
        <f>'Ανάλυση για νέους πελάτες'!F26</f>
        <v>122</v>
      </c>
      <c r="AE51" s="167">
        <f t="shared" ref="AE51" si="261">AB51+AD51</f>
        <v>307</v>
      </c>
      <c r="AF51" s="203">
        <f t="shared" si="250"/>
        <v>0.6594594594594595</v>
      </c>
      <c r="AG51" s="70">
        <f>'Ανάλυση για νέους πελάτες'!G26</f>
        <v>100</v>
      </c>
      <c r="AH51" s="167">
        <f t="shared" si="259"/>
        <v>407</v>
      </c>
      <c r="AI51" s="223">
        <f t="shared" si="252"/>
        <v>0.32573289902280128</v>
      </c>
      <c r="AJ51" s="71">
        <f>'Ανάλυση για νέους πελάτες'!H26</f>
        <v>100</v>
      </c>
      <c r="AK51" s="167">
        <f t="shared" si="260"/>
        <v>507</v>
      </c>
      <c r="AL51" s="203">
        <f t="shared" si="254"/>
        <v>0.24570024570024571</v>
      </c>
      <c r="AM51" s="198">
        <f t="shared" si="255"/>
        <v>507</v>
      </c>
      <c r="AN51" s="199">
        <f t="shared" si="256"/>
        <v>0.56277789056285377</v>
      </c>
    </row>
    <row r="52" spans="2:40" ht="16.5" customHeight="1" outlineLevel="1" x14ac:dyDescent="0.25">
      <c r="B52" s="52"/>
      <c r="C52" s="64"/>
      <c r="D52" s="71"/>
      <c r="E52" s="71"/>
      <c r="F52" s="71"/>
      <c r="G52" s="167"/>
      <c r="H52" s="223">
        <f t="shared" si="236"/>
        <v>0</v>
      </c>
      <c r="I52" s="71"/>
      <c r="J52" s="167"/>
      <c r="K52" s="203">
        <f t="shared" si="238"/>
        <v>0</v>
      </c>
      <c r="L52" s="71"/>
      <c r="M52" s="167"/>
      <c r="N52" s="223">
        <f t="shared" si="240"/>
        <v>0</v>
      </c>
      <c r="O52" s="71"/>
      <c r="P52" s="161"/>
      <c r="Q52" s="161"/>
      <c r="R52" s="71"/>
      <c r="S52" s="167"/>
      <c r="T52" s="203">
        <f t="shared" si="242"/>
        <v>0</v>
      </c>
      <c r="U52" s="213"/>
      <c r="V52" s="199">
        <f t="shared" si="244"/>
        <v>0</v>
      </c>
      <c r="X52" s="71"/>
      <c r="Y52" s="167"/>
      <c r="Z52" s="203">
        <f t="shared" si="246"/>
        <v>0</v>
      </c>
      <c r="AA52" s="70"/>
      <c r="AB52" s="167"/>
      <c r="AC52" s="223">
        <f t="shared" si="248"/>
        <v>0</v>
      </c>
      <c r="AD52" s="71"/>
      <c r="AE52" s="167"/>
      <c r="AF52" s="203">
        <f t="shared" si="250"/>
        <v>0</v>
      </c>
      <c r="AG52" s="70"/>
      <c r="AH52" s="167"/>
      <c r="AI52" s="223">
        <f t="shared" si="252"/>
        <v>0</v>
      </c>
      <c r="AJ52" s="71"/>
      <c r="AK52" s="167"/>
      <c r="AL52" s="203">
        <f t="shared" si="254"/>
        <v>0</v>
      </c>
      <c r="AM52" s="198"/>
      <c r="AN52" s="199">
        <f t="shared" si="256"/>
        <v>0</v>
      </c>
    </row>
    <row r="53" spans="2:40" ht="15" customHeight="1" outlineLevel="1" x14ac:dyDescent="0.25">
      <c r="B53" s="349" t="s">
        <v>90</v>
      </c>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97"/>
    </row>
    <row r="54" spans="2:40" ht="15" customHeight="1" outlineLevel="1" x14ac:dyDescent="0.25">
      <c r="B54" s="52" t="s">
        <v>82</v>
      </c>
      <c r="C54" s="49" t="s">
        <v>22</v>
      </c>
      <c r="D54" s="207">
        <f>SUM(D38:D52)</f>
        <v>0</v>
      </c>
      <c r="E54" s="208">
        <f>SUM(E38:E52)</f>
        <v>0</v>
      </c>
      <c r="F54" s="225">
        <f>SUM(F38:F52)</f>
        <v>0</v>
      </c>
      <c r="G54" s="172">
        <f>SUM(G38:G52)</f>
        <v>0</v>
      </c>
      <c r="H54" s="224">
        <f>IFERROR((G54-E54)/E54,0)</f>
        <v>0</v>
      </c>
      <c r="I54" s="207">
        <f>SUM(I38:I52)</f>
        <v>0</v>
      </c>
      <c r="J54" s="172">
        <f>SUM(J38:J52)</f>
        <v>0</v>
      </c>
      <c r="K54" s="202">
        <f t="shared" si="154"/>
        <v>0</v>
      </c>
      <c r="L54" s="225">
        <f>SUM(L38:L52)</f>
        <v>0</v>
      </c>
      <c r="M54" s="172">
        <f>SUM(M38:M52)</f>
        <v>0</v>
      </c>
      <c r="N54" s="224">
        <f t="shared" si="156"/>
        <v>0</v>
      </c>
      <c r="O54" s="207">
        <f>SUM(O38:O52)</f>
        <v>63</v>
      </c>
      <c r="P54" s="161"/>
      <c r="Q54" s="161"/>
      <c r="R54" s="207">
        <f>SUM(R38:R52)</f>
        <v>1184</v>
      </c>
      <c r="S54" s="172">
        <f>SUM(S38:S52)</f>
        <v>1184</v>
      </c>
      <c r="T54" s="202">
        <f t="shared" si="158"/>
        <v>0</v>
      </c>
      <c r="U54" s="215">
        <f>SUM(U38:U52)</f>
        <v>1184</v>
      </c>
      <c r="V54" s="192">
        <f>IFERROR((S54/E54)^(1/4)-1,0)</f>
        <v>0</v>
      </c>
      <c r="X54" s="188">
        <f>SUM(X38:X52)</f>
        <v>2038</v>
      </c>
      <c r="Y54" s="215">
        <f>SUM(Y38:Y52)</f>
        <v>3222</v>
      </c>
      <c r="Z54" s="202">
        <f>IFERROR((Y54-S54)/S54,0)</f>
        <v>1.7212837837837838</v>
      </c>
      <c r="AA54" s="188">
        <f>SUM(AA38:AA52)</f>
        <v>6368</v>
      </c>
      <c r="AB54" s="215">
        <f>SUM(AB38:AB52)</f>
        <v>9590</v>
      </c>
      <c r="AC54" s="217">
        <f>IFERROR((AB54-Y54)/Y54,0)</f>
        <v>1.9764121663563003</v>
      </c>
      <c r="AD54" s="188">
        <f>SUM(AD38:AD52)</f>
        <v>5279</v>
      </c>
      <c r="AE54" s="215">
        <f>SUM(AE38:AE52)</f>
        <v>14869</v>
      </c>
      <c r="AF54" s="216">
        <f>IFERROR((AE54-AB54)/AB54,0)</f>
        <v>0.55046923879040666</v>
      </c>
      <c r="AG54" s="188">
        <f>SUM(AG38:AG52)</f>
        <v>3734</v>
      </c>
      <c r="AH54" s="215">
        <f>SUM(AH38:AH52)</f>
        <v>18603</v>
      </c>
      <c r="AI54" s="217">
        <f>IFERROR((AH54-AE54)/AE54,0)</f>
        <v>0.25112650480866233</v>
      </c>
      <c r="AJ54" s="188">
        <f>SUM(AJ38:AJ52)</f>
        <v>1971</v>
      </c>
      <c r="AK54" s="215">
        <f>SUM(AK38:AK52)</f>
        <v>20574</v>
      </c>
      <c r="AL54" s="191">
        <f>IFERROR((AK54-AH54)/AH54,0)</f>
        <v>0.10595065312046444</v>
      </c>
      <c r="AM54" s="215">
        <f>SUM(AM38:AM52)</f>
        <v>19390</v>
      </c>
      <c r="AN54" s="199">
        <f t="shared" si="168"/>
        <v>0.58963823388944991</v>
      </c>
    </row>
    <row r="55" spans="2:40" ht="15" customHeight="1" x14ac:dyDescent="0.25">
      <c r="B55" s="17" t="s">
        <v>201</v>
      </c>
    </row>
    <row r="56" spans="2:40" ht="15" customHeight="1" x14ac:dyDescent="0.25">
      <c r="B56" s="17"/>
    </row>
    <row r="57" spans="2:40" ht="15.75" x14ac:dyDescent="0.25">
      <c r="B57" s="352" t="s">
        <v>205</v>
      </c>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row>
    <row r="58" spans="2:40" ht="5.45" customHeight="1" outlineLevel="1" x14ac:dyDescent="0.2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row>
    <row r="59" spans="2:40" outlineLevel="1" x14ac:dyDescent="0.25">
      <c r="B59" s="393"/>
      <c r="C59" s="396" t="s">
        <v>20</v>
      </c>
      <c r="D59" s="372" t="s">
        <v>262</v>
      </c>
      <c r="E59" s="373"/>
      <c r="F59" s="373"/>
      <c r="G59" s="373"/>
      <c r="H59" s="373"/>
      <c r="I59" s="373"/>
      <c r="J59" s="373"/>
      <c r="K59" s="373"/>
      <c r="L59" s="373"/>
      <c r="M59" s="373"/>
      <c r="N59" s="373"/>
      <c r="O59" s="373"/>
      <c r="P59" s="373"/>
      <c r="Q59" s="374"/>
      <c r="R59" s="372" t="s">
        <v>260</v>
      </c>
      <c r="S59" s="373"/>
      <c r="T59" s="374"/>
      <c r="U59" s="388" t="str">
        <f xml:space="preserve"> D60&amp;" - "&amp;R60</f>
        <v>2018 - 2022</v>
      </c>
      <c r="V59" s="398"/>
      <c r="X59" s="372" t="s">
        <v>263</v>
      </c>
      <c r="Y59" s="373"/>
      <c r="Z59" s="373"/>
      <c r="AA59" s="373"/>
      <c r="AB59" s="373"/>
      <c r="AC59" s="373"/>
      <c r="AD59" s="373"/>
      <c r="AE59" s="373"/>
      <c r="AF59" s="373"/>
      <c r="AG59" s="373"/>
      <c r="AH59" s="373"/>
      <c r="AI59" s="373"/>
      <c r="AJ59" s="373"/>
      <c r="AK59" s="373"/>
      <c r="AL59" s="373"/>
      <c r="AM59" s="373"/>
      <c r="AN59" s="374"/>
    </row>
    <row r="60" spans="2:40" outlineLevel="1" x14ac:dyDescent="0.25">
      <c r="B60" s="394"/>
      <c r="C60" s="396"/>
      <c r="D60" s="372">
        <f>$C$3-5</f>
        <v>2018</v>
      </c>
      <c r="E60" s="374"/>
      <c r="F60" s="373">
        <f>$C$3-4</f>
        <v>2019</v>
      </c>
      <c r="G60" s="373"/>
      <c r="H60" s="373"/>
      <c r="I60" s="372">
        <f>$C$3-3</f>
        <v>2020</v>
      </c>
      <c r="J60" s="373"/>
      <c r="K60" s="374"/>
      <c r="L60" s="372">
        <f>$C$3-2</f>
        <v>2021</v>
      </c>
      <c r="M60" s="373"/>
      <c r="N60" s="374"/>
      <c r="O60" s="372" t="str">
        <f>$C$3-1&amp;""&amp;" ("&amp;"Σεπτ"&amp;")"</f>
        <v>2022 (Σεπτ)</v>
      </c>
      <c r="P60" s="373"/>
      <c r="Q60" s="374"/>
      <c r="R60" s="372">
        <f>$C$3-1</f>
        <v>2022</v>
      </c>
      <c r="S60" s="373"/>
      <c r="T60" s="374"/>
      <c r="U60" s="390"/>
      <c r="V60" s="399"/>
      <c r="X60" s="372">
        <f>$C$3</f>
        <v>2023</v>
      </c>
      <c r="Y60" s="373"/>
      <c r="Z60" s="374"/>
      <c r="AA60" s="373">
        <f>$C$3+1</f>
        <v>2024</v>
      </c>
      <c r="AB60" s="373"/>
      <c r="AC60" s="373"/>
      <c r="AD60" s="372">
        <f>$C$3+2</f>
        <v>2025</v>
      </c>
      <c r="AE60" s="373"/>
      <c r="AF60" s="374"/>
      <c r="AG60" s="373">
        <f>$C$3+3</f>
        <v>2026</v>
      </c>
      <c r="AH60" s="373"/>
      <c r="AI60" s="373"/>
      <c r="AJ60" s="372">
        <f>$C$3+4</f>
        <v>2027</v>
      </c>
      <c r="AK60" s="373"/>
      <c r="AL60" s="374"/>
      <c r="AM60" s="376" t="str">
        <f>X60&amp;" - "&amp;AJ60</f>
        <v>2023 - 2027</v>
      </c>
      <c r="AN60" s="392"/>
    </row>
    <row r="61" spans="2:40" ht="30" outlineLevel="1" x14ac:dyDescent="0.25">
      <c r="B61" s="395"/>
      <c r="C61" s="396"/>
      <c r="D61" s="67" t="s">
        <v>6</v>
      </c>
      <c r="E61" s="68" t="s">
        <v>7</v>
      </c>
      <c r="F61" s="78" t="s">
        <v>6</v>
      </c>
      <c r="G61" s="9" t="s">
        <v>7</v>
      </c>
      <c r="H61" s="68" t="s">
        <v>81</v>
      </c>
      <c r="I61" s="78" t="s">
        <v>6</v>
      </c>
      <c r="J61" s="9" t="s">
        <v>7</v>
      </c>
      <c r="K61" s="68" t="s">
        <v>81</v>
      </c>
      <c r="L61" s="78" t="s">
        <v>6</v>
      </c>
      <c r="M61" s="9" t="s">
        <v>7</v>
      </c>
      <c r="N61" s="68" t="s">
        <v>81</v>
      </c>
      <c r="O61" s="78" t="s">
        <v>6</v>
      </c>
      <c r="P61" s="9" t="s">
        <v>7</v>
      </c>
      <c r="Q61" s="68" t="s">
        <v>81</v>
      </c>
      <c r="R61" s="78" t="s">
        <v>6</v>
      </c>
      <c r="S61" s="9" t="s">
        <v>7</v>
      </c>
      <c r="T61" s="68" t="s">
        <v>81</v>
      </c>
      <c r="U61" s="67" t="s">
        <v>17</v>
      </c>
      <c r="V61" s="132" t="s">
        <v>83</v>
      </c>
      <c r="X61" s="67" t="s">
        <v>6</v>
      </c>
      <c r="Y61" s="9" t="s">
        <v>7</v>
      </c>
      <c r="Z61" s="68" t="s">
        <v>81</v>
      </c>
      <c r="AA61" s="78" t="s">
        <v>6</v>
      </c>
      <c r="AB61" s="9" t="s">
        <v>7</v>
      </c>
      <c r="AC61" s="68" t="s">
        <v>81</v>
      </c>
      <c r="AD61" s="78" t="s">
        <v>6</v>
      </c>
      <c r="AE61" s="9" t="s">
        <v>7</v>
      </c>
      <c r="AF61" s="68" t="s">
        <v>81</v>
      </c>
      <c r="AG61" s="78" t="s">
        <v>6</v>
      </c>
      <c r="AH61" s="9" t="s">
        <v>7</v>
      </c>
      <c r="AI61" s="68" t="s">
        <v>81</v>
      </c>
      <c r="AJ61" s="78" t="s">
        <v>6</v>
      </c>
      <c r="AK61" s="9" t="s">
        <v>7</v>
      </c>
      <c r="AL61" s="68" t="s">
        <v>81</v>
      </c>
      <c r="AM61" s="78" t="s">
        <v>17</v>
      </c>
      <c r="AN61" s="132" t="s">
        <v>83</v>
      </c>
    </row>
    <row r="62" spans="2:40" outlineLevel="1" x14ac:dyDescent="0.25">
      <c r="B62" s="281" t="s">
        <v>283</v>
      </c>
      <c r="C62" s="64" t="s">
        <v>22</v>
      </c>
      <c r="D62" s="71">
        <v>0</v>
      </c>
      <c r="E62" s="71">
        <v>0</v>
      </c>
      <c r="F62" s="71">
        <v>0</v>
      </c>
      <c r="G62" s="167">
        <f t="shared" ref="G62:G70" si="262">E62+F62</f>
        <v>0</v>
      </c>
      <c r="H62" s="223">
        <f t="shared" ref="H62:H76" si="263">IFERROR((G62-E62)/E62,0)</f>
        <v>0</v>
      </c>
      <c r="I62" s="71">
        <v>0</v>
      </c>
      <c r="J62" s="167">
        <f>G62+I62</f>
        <v>0</v>
      </c>
      <c r="K62" s="203">
        <f>IFERROR((J62-G62)/G62,0)</f>
        <v>0</v>
      </c>
      <c r="L62" s="71">
        <v>0</v>
      </c>
      <c r="M62" s="167">
        <f>J62+L62</f>
        <v>0</v>
      </c>
      <c r="N62" s="223">
        <f>IFERROR((M62-J62)/J62,0)</f>
        <v>0</v>
      </c>
      <c r="O62" s="71">
        <v>26</v>
      </c>
      <c r="P62" s="161"/>
      <c r="Q62" s="161"/>
      <c r="R62" s="71">
        <v>26</v>
      </c>
      <c r="S62" s="167">
        <f>M62+R62</f>
        <v>26</v>
      </c>
      <c r="T62" s="203">
        <f>IFERROR((S62-M62)/M62,0)</f>
        <v>0</v>
      </c>
      <c r="U62" s="213">
        <f t="shared" ref="U62:U70" si="264">D62+F62+I62+L62+R62</f>
        <v>26</v>
      </c>
      <c r="V62" s="199">
        <f t="shared" ref="V62:V76" si="265">IFERROR((S62/E62)^(1/4)-1,0)</f>
        <v>0</v>
      </c>
      <c r="X62" s="71">
        <f t="shared" ref="X62:X75" si="266">X38</f>
        <v>122</v>
      </c>
      <c r="Y62" s="167">
        <f t="shared" ref="Y62:Y70" si="267">S62+X62</f>
        <v>148</v>
      </c>
      <c r="Z62" s="203">
        <f t="shared" ref="Z62:Z76" si="268">IFERROR((Y62-S62)/S62,0)</f>
        <v>4.6923076923076925</v>
      </c>
      <c r="AA62" s="70">
        <f t="shared" ref="AA62:AA75" si="269">AA38</f>
        <v>185</v>
      </c>
      <c r="AB62" s="167">
        <f>Y62+AA62</f>
        <v>333</v>
      </c>
      <c r="AC62" s="223">
        <f>IFERROR((AB62-Y62)/Y62,0)</f>
        <v>1.25</v>
      </c>
      <c r="AD62" s="71">
        <f t="shared" ref="AD62:AD75" si="270">AD38</f>
        <v>105</v>
      </c>
      <c r="AE62" s="167">
        <f>AB62+AD62</f>
        <v>438</v>
      </c>
      <c r="AF62" s="203">
        <f>IFERROR((AE62-AB62)/AB62,0)</f>
        <v>0.31531531531531531</v>
      </c>
      <c r="AG62" s="70">
        <f t="shared" ref="AG62:AG75" si="271">AG38</f>
        <v>30</v>
      </c>
      <c r="AH62" s="167">
        <f>AE62+AG62</f>
        <v>468</v>
      </c>
      <c r="AI62" s="223">
        <f>IFERROR((AH62-AE62)/AE62,0)</f>
        <v>6.8493150684931503E-2</v>
      </c>
      <c r="AJ62" s="71">
        <f t="shared" ref="AJ62:AJ75" si="272">AJ38</f>
        <v>16</v>
      </c>
      <c r="AK62" s="167">
        <f>AH62+AJ62</f>
        <v>484</v>
      </c>
      <c r="AL62" s="203">
        <f>IFERROR((AK62-AH62)/AH62,0)</f>
        <v>3.4188034188034191E-2</v>
      </c>
      <c r="AM62" s="198">
        <f>X62+AA62+AD62+AG62+AJ62</f>
        <v>458</v>
      </c>
      <c r="AN62" s="199">
        <f>IFERROR((AK62/Y62)^(1/4)-1,0)</f>
        <v>0.34476349606870649</v>
      </c>
    </row>
    <row r="63" spans="2:40" outlineLevel="1" x14ac:dyDescent="0.25">
      <c r="B63" s="52" t="s">
        <v>284</v>
      </c>
      <c r="C63" s="64" t="s">
        <v>22</v>
      </c>
      <c r="D63" s="71">
        <v>0</v>
      </c>
      <c r="E63" s="71">
        <v>0</v>
      </c>
      <c r="F63" s="71">
        <v>0</v>
      </c>
      <c r="G63" s="167">
        <f t="shared" si="262"/>
        <v>0</v>
      </c>
      <c r="H63" s="223">
        <f t="shared" si="263"/>
        <v>0</v>
      </c>
      <c r="I63" s="71">
        <v>0</v>
      </c>
      <c r="J63" s="167">
        <f t="shared" ref="J63:J70" si="273">G63+I63</f>
        <v>0</v>
      </c>
      <c r="K63" s="203">
        <f t="shared" ref="K63:K76" si="274">IFERROR((J63-G63)/G63,0)</f>
        <v>0</v>
      </c>
      <c r="L63" s="71">
        <v>0</v>
      </c>
      <c r="M63" s="167">
        <f t="shared" ref="M63:M70" si="275">J63+L63</f>
        <v>0</v>
      </c>
      <c r="N63" s="223">
        <f t="shared" ref="N63:N76" si="276">IFERROR((M63-J63)/J63,0)</f>
        <v>0</v>
      </c>
      <c r="O63" s="71"/>
      <c r="P63" s="161"/>
      <c r="Q63" s="161"/>
      <c r="R63" s="71"/>
      <c r="S63" s="167">
        <f t="shared" ref="S63:S70" si="277">M63+R63</f>
        <v>0</v>
      </c>
      <c r="T63" s="203">
        <f t="shared" ref="T63:T76" si="278">IFERROR((S63-M63)/M63,0)</f>
        <v>0</v>
      </c>
      <c r="U63" s="213">
        <f t="shared" si="264"/>
        <v>0</v>
      </c>
      <c r="V63" s="199">
        <f t="shared" si="265"/>
        <v>0</v>
      </c>
      <c r="X63" s="71">
        <f t="shared" si="266"/>
        <v>179</v>
      </c>
      <c r="Y63" s="167">
        <f t="shared" si="267"/>
        <v>179</v>
      </c>
      <c r="Z63" s="203">
        <f t="shared" si="268"/>
        <v>0</v>
      </c>
      <c r="AA63" s="70">
        <f t="shared" si="269"/>
        <v>260</v>
      </c>
      <c r="AB63" s="167">
        <f t="shared" ref="AB63:AB70" si="279">Y63+AA63</f>
        <v>439</v>
      </c>
      <c r="AC63" s="223">
        <f t="shared" ref="AC63:AC76" si="280">IFERROR((AB63-Y63)/Y63,0)</f>
        <v>1.4525139664804469</v>
      </c>
      <c r="AD63" s="71">
        <f t="shared" si="270"/>
        <v>254</v>
      </c>
      <c r="AE63" s="167">
        <f t="shared" ref="AE63:AE70" si="281">AB63+AD63</f>
        <v>693</v>
      </c>
      <c r="AF63" s="203">
        <f t="shared" ref="AF63:AF76" si="282">IFERROR((AE63-AB63)/AB63,0)</f>
        <v>0.57858769931662868</v>
      </c>
      <c r="AG63" s="70">
        <f t="shared" si="271"/>
        <v>68</v>
      </c>
      <c r="AH63" s="167">
        <f t="shared" ref="AH63:AH70" si="283">AE63+AG63</f>
        <v>761</v>
      </c>
      <c r="AI63" s="223">
        <f t="shared" ref="AI63:AI76" si="284">IFERROR((AH63-AE63)/AE63,0)</f>
        <v>9.8124098124098127E-2</v>
      </c>
      <c r="AJ63" s="71">
        <f t="shared" si="272"/>
        <v>14</v>
      </c>
      <c r="AK63" s="167">
        <f t="shared" ref="AK63:AK70" si="285">AH63+AJ63</f>
        <v>775</v>
      </c>
      <c r="AL63" s="203">
        <f t="shared" ref="AL63:AL76" si="286">IFERROR((AK63-AH63)/AH63,0)</f>
        <v>1.8396846254927726E-2</v>
      </c>
      <c r="AM63" s="198">
        <f t="shared" ref="AM63:AM75" si="287">X63+AA63+AD63+AG63+AJ63</f>
        <v>775</v>
      </c>
      <c r="AN63" s="199">
        <f t="shared" ref="AN63:AN76" si="288">IFERROR((AK63/Y63)^(1/4)-1,0)</f>
        <v>0.4424878635456142</v>
      </c>
    </row>
    <row r="64" spans="2:40" outlineLevel="1" x14ac:dyDescent="0.25">
      <c r="B64" s="52" t="s">
        <v>285</v>
      </c>
      <c r="C64" s="64" t="s">
        <v>22</v>
      </c>
      <c r="D64" s="71">
        <v>0</v>
      </c>
      <c r="E64" s="71">
        <v>0</v>
      </c>
      <c r="F64" s="71">
        <v>0</v>
      </c>
      <c r="G64" s="167">
        <f t="shared" si="262"/>
        <v>0</v>
      </c>
      <c r="H64" s="223">
        <f t="shared" si="263"/>
        <v>0</v>
      </c>
      <c r="I64" s="71">
        <v>0</v>
      </c>
      <c r="J64" s="167">
        <f t="shared" si="273"/>
        <v>0</v>
      </c>
      <c r="K64" s="203">
        <f t="shared" si="274"/>
        <v>0</v>
      </c>
      <c r="L64" s="71">
        <v>0</v>
      </c>
      <c r="M64" s="167">
        <f t="shared" si="275"/>
        <v>0</v>
      </c>
      <c r="N64" s="223">
        <f t="shared" si="276"/>
        <v>0</v>
      </c>
      <c r="O64" s="71"/>
      <c r="P64" s="161"/>
      <c r="Q64" s="161"/>
      <c r="R64" s="71"/>
      <c r="S64" s="167">
        <f t="shared" si="277"/>
        <v>0</v>
      </c>
      <c r="T64" s="203">
        <f t="shared" si="278"/>
        <v>0</v>
      </c>
      <c r="U64" s="213">
        <f t="shared" si="264"/>
        <v>0</v>
      </c>
      <c r="V64" s="199">
        <f t="shared" si="265"/>
        <v>0</v>
      </c>
      <c r="X64" s="71">
        <f t="shared" si="266"/>
        <v>168</v>
      </c>
      <c r="Y64" s="167">
        <f t="shared" si="267"/>
        <v>168</v>
      </c>
      <c r="Z64" s="203">
        <f t="shared" si="268"/>
        <v>0</v>
      </c>
      <c r="AA64" s="70">
        <f t="shared" si="269"/>
        <v>255</v>
      </c>
      <c r="AB64" s="167">
        <f t="shared" si="279"/>
        <v>423</v>
      </c>
      <c r="AC64" s="223">
        <f t="shared" si="280"/>
        <v>1.5178571428571428</v>
      </c>
      <c r="AD64" s="71">
        <f t="shared" si="270"/>
        <v>206</v>
      </c>
      <c r="AE64" s="167">
        <f t="shared" si="281"/>
        <v>629</v>
      </c>
      <c r="AF64" s="203">
        <f t="shared" si="282"/>
        <v>0.48699763593380613</v>
      </c>
      <c r="AG64" s="70">
        <f t="shared" si="271"/>
        <v>64</v>
      </c>
      <c r="AH64" s="167">
        <f t="shared" si="283"/>
        <v>693</v>
      </c>
      <c r="AI64" s="223">
        <f t="shared" si="284"/>
        <v>0.10174880763116058</v>
      </c>
      <c r="AJ64" s="71">
        <f t="shared" si="272"/>
        <v>32</v>
      </c>
      <c r="AK64" s="167">
        <f t="shared" si="285"/>
        <v>725</v>
      </c>
      <c r="AL64" s="203">
        <f t="shared" si="286"/>
        <v>4.6176046176046176E-2</v>
      </c>
      <c r="AM64" s="198">
        <f t="shared" si="287"/>
        <v>725</v>
      </c>
      <c r="AN64" s="199">
        <f t="shared" si="288"/>
        <v>0.44130927444356693</v>
      </c>
    </row>
    <row r="65" spans="2:40" ht="16.5" customHeight="1" outlineLevel="1" x14ac:dyDescent="0.25">
      <c r="B65" s="52" t="s">
        <v>286</v>
      </c>
      <c r="C65" s="64" t="s">
        <v>22</v>
      </c>
      <c r="D65" s="71">
        <v>0</v>
      </c>
      <c r="E65" s="71">
        <v>0</v>
      </c>
      <c r="F65" s="71">
        <v>0</v>
      </c>
      <c r="G65" s="167">
        <f t="shared" si="262"/>
        <v>0</v>
      </c>
      <c r="H65" s="223">
        <f t="shared" si="263"/>
        <v>0</v>
      </c>
      <c r="I65" s="71">
        <v>0</v>
      </c>
      <c r="J65" s="167">
        <f t="shared" si="273"/>
        <v>0</v>
      </c>
      <c r="K65" s="203">
        <f t="shared" si="274"/>
        <v>0</v>
      </c>
      <c r="L65" s="71">
        <v>0</v>
      </c>
      <c r="M65" s="167">
        <f t="shared" si="275"/>
        <v>0</v>
      </c>
      <c r="N65" s="223">
        <f t="shared" si="276"/>
        <v>0</v>
      </c>
      <c r="O65" s="71"/>
      <c r="P65" s="161"/>
      <c r="Q65" s="161"/>
      <c r="R65" s="71"/>
      <c r="S65" s="167">
        <f t="shared" si="277"/>
        <v>0</v>
      </c>
      <c r="T65" s="203">
        <f t="shared" si="278"/>
        <v>0</v>
      </c>
      <c r="U65" s="213">
        <f t="shared" si="264"/>
        <v>0</v>
      </c>
      <c r="V65" s="199">
        <f t="shared" si="265"/>
        <v>0</v>
      </c>
      <c r="X65" s="71">
        <f t="shared" si="266"/>
        <v>235</v>
      </c>
      <c r="Y65" s="167">
        <f t="shared" si="267"/>
        <v>235</v>
      </c>
      <c r="Z65" s="203">
        <f t="shared" si="268"/>
        <v>0</v>
      </c>
      <c r="AA65" s="70">
        <f t="shared" si="269"/>
        <v>1070</v>
      </c>
      <c r="AB65" s="167">
        <f t="shared" si="279"/>
        <v>1305</v>
      </c>
      <c r="AC65" s="223">
        <f t="shared" si="280"/>
        <v>4.5531914893617023</v>
      </c>
      <c r="AD65" s="71">
        <f t="shared" si="270"/>
        <v>810</v>
      </c>
      <c r="AE65" s="167">
        <f t="shared" si="281"/>
        <v>2115</v>
      </c>
      <c r="AF65" s="203">
        <f t="shared" si="282"/>
        <v>0.62068965517241381</v>
      </c>
      <c r="AG65" s="70">
        <f t="shared" si="271"/>
        <v>277</v>
      </c>
      <c r="AH65" s="167">
        <f t="shared" si="283"/>
        <v>2392</v>
      </c>
      <c r="AI65" s="223">
        <f t="shared" si="284"/>
        <v>0.1309692671394799</v>
      </c>
      <c r="AJ65" s="71">
        <f t="shared" si="272"/>
        <v>138</v>
      </c>
      <c r="AK65" s="167">
        <f t="shared" si="285"/>
        <v>2530</v>
      </c>
      <c r="AL65" s="203">
        <f t="shared" si="286"/>
        <v>5.7692307692307696E-2</v>
      </c>
      <c r="AM65" s="198">
        <f t="shared" si="287"/>
        <v>2530</v>
      </c>
      <c r="AN65" s="199">
        <f t="shared" si="288"/>
        <v>0.81139500042631907</v>
      </c>
    </row>
    <row r="66" spans="2:40" ht="16.5" customHeight="1" outlineLevel="1" x14ac:dyDescent="0.25">
      <c r="B66" s="52" t="s">
        <v>287</v>
      </c>
      <c r="C66" s="64" t="s">
        <v>22</v>
      </c>
      <c r="D66" s="71">
        <v>0</v>
      </c>
      <c r="E66" s="71">
        <v>0</v>
      </c>
      <c r="F66" s="71">
        <v>0</v>
      </c>
      <c r="G66" s="167">
        <f t="shared" si="262"/>
        <v>0</v>
      </c>
      <c r="H66" s="223">
        <f t="shared" si="263"/>
        <v>0</v>
      </c>
      <c r="I66" s="71">
        <v>0</v>
      </c>
      <c r="J66" s="167">
        <f t="shared" si="273"/>
        <v>0</v>
      </c>
      <c r="K66" s="203">
        <f t="shared" si="274"/>
        <v>0</v>
      </c>
      <c r="L66" s="71">
        <v>0</v>
      </c>
      <c r="M66" s="167">
        <f t="shared" si="275"/>
        <v>0</v>
      </c>
      <c r="N66" s="223">
        <f t="shared" si="276"/>
        <v>0</v>
      </c>
      <c r="O66" s="71"/>
      <c r="P66" s="161"/>
      <c r="Q66" s="161"/>
      <c r="R66" s="71"/>
      <c r="S66" s="167">
        <f t="shared" si="277"/>
        <v>0</v>
      </c>
      <c r="T66" s="203">
        <f t="shared" si="278"/>
        <v>0</v>
      </c>
      <c r="U66" s="213">
        <f t="shared" si="264"/>
        <v>0</v>
      </c>
      <c r="V66" s="199">
        <f t="shared" si="265"/>
        <v>0</v>
      </c>
      <c r="X66" s="71">
        <f t="shared" si="266"/>
        <v>0</v>
      </c>
      <c r="Y66" s="167">
        <f t="shared" si="267"/>
        <v>0</v>
      </c>
      <c r="Z66" s="203">
        <f t="shared" si="268"/>
        <v>0</v>
      </c>
      <c r="AA66" s="70">
        <f t="shared" si="269"/>
        <v>800</v>
      </c>
      <c r="AB66" s="167">
        <f t="shared" si="279"/>
        <v>800</v>
      </c>
      <c r="AC66" s="223">
        <f t="shared" si="280"/>
        <v>0</v>
      </c>
      <c r="AD66" s="71">
        <f t="shared" si="270"/>
        <v>748</v>
      </c>
      <c r="AE66" s="167">
        <f t="shared" si="281"/>
        <v>1548</v>
      </c>
      <c r="AF66" s="203">
        <f t="shared" si="282"/>
        <v>0.93500000000000005</v>
      </c>
      <c r="AG66" s="70">
        <f t="shared" si="271"/>
        <v>686</v>
      </c>
      <c r="AH66" s="167">
        <f t="shared" si="283"/>
        <v>2234</v>
      </c>
      <c r="AI66" s="223">
        <f t="shared" si="284"/>
        <v>0.44315245478036175</v>
      </c>
      <c r="AJ66" s="71">
        <f t="shared" si="272"/>
        <v>344</v>
      </c>
      <c r="AK66" s="167">
        <f t="shared" si="285"/>
        <v>2578</v>
      </c>
      <c r="AL66" s="203">
        <f t="shared" si="286"/>
        <v>0.15398388540734109</v>
      </c>
      <c r="AM66" s="198">
        <f t="shared" si="287"/>
        <v>2578</v>
      </c>
      <c r="AN66" s="199">
        <f t="shared" si="288"/>
        <v>0</v>
      </c>
    </row>
    <row r="67" spans="2:40" ht="16.5" customHeight="1" outlineLevel="1" x14ac:dyDescent="0.25">
      <c r="B67" s="52" t="s">
        <v>288</v>
      </c>
      <c r="C67" s="64" t="s">
        <v>22</v>
      </c>
      <c r="D67" s="71">
        <v>0</v>
      </c>
      <c r="E67" s="71">
        <v>0</v>
      </c>
      <c r="F67" s="71">
        <v>0</v>
      </c>
      <c r="G67" s="167">
        <f t="shared" si="262"/>
        <v>0</v>
      </c>
      <c r="H67" s="223">
        <f t="shared" si="263"/>
        <v>0</v>
      </c>
      <c r="I67" s="71">
        <v>0</v>
      </c>
      <c r="J67" s="167">
        <f t="shared" si="273"/>
        <v>0</v>
      </c>
      <c r="K67" s="203">
        <f t="shared" si="274"/>
        <v>0</v>
      </c>
      <c r="L67" s="71">
        <v>0</v>
      </c>
      <c r="M67" s="167">
        <f t="shared" si="275"/>
        <v>0</v>
      </c>
      <c r="N67" s="223">
        <f t="shared" si="276"/>
        <v>0</v>
      </c>
      <c r="O67" s="71"/>
      <c r="P67" s="161"/>
      <c r="Q67" s="161"/>
      <c r="R67" s="71"/>
      <c r="S67" s="167">
        <f t="shared" si="277"/>
        <v>0</v>
      </c>
      <c r="T67" s="203">
        <f t="shared" si="278"/>
        <v>0</v>
      </c>
      <c r="U67" s="213">
        <f t="shared" si="264"/>
        <v>0</v>
      </c>
      <c r="V67" s="199">
        <f t="shared" si="265"/>
        <v>0</v>
      </c>
      <c r="X67" s="71">
        <f t="shared" si="266"/>
        <v>195</v>
      </c>
      <c r="Y67" s="167">
        <f t="shared" si="267"/>
        <v>195</v>
      </c>
      <c r="Z67" s="203">
        <f t="shared" si="268"/>
        <v>0</v>
      </c>
      <c r="AA67" s="70">
        <f t="shared" si="269"/>
        <v>360</v>
      </c>
      <c r="AB67" s="167">
        <f t="shared" si="279"/>
        <v>555</v>
      </c>
      <c r="AC67" s="223">
        <f t="shared" si="280"/>
        <v>1.8461538461538463</v>
      </c>
      <c r="AD67" s="71">
        <f t="shared" si="270"/>
        <v>218</v>
      </c>
      <c r="AE67" s="167">
        <f t="shared" si="281"/>
        <v>773</v>
      </c>
      <c r="AF67" s="203">
        <f t="shared" si="282"/>
        <v>0.39279279279279278</v>
      </c>
      <c r="AG67" s="70">
        <f t="shared" si="271"/>
        <v>50</v>
      </c>
      <c r="AH67" s="167">
        <f t="shared" si="283"/>
        <v>823</v>
      </c>
      <c r="AI67" s="223">
        <f t="shared" si="284"/>
        <v>6.4683053040103494E-2</v>
      </c>
      <c r="AJ67" s="71">
        <f t="shared" si="272"/>
        <v>25</v>
      </c>
      <c r="AK67" s="167">
        <f t="shared" si="285"/>
        <v>848</v>
      </c>
      <c r="AL67" s="203">
        <f t="shared" si="286"/>
        <v>3.0376670716889428E-2</v>
      </c>
      <c r="AM67" s="198">
        <f t="shared" si="287"/>
        <v>848</v>
      </c>
      <c r="AN67" s="199">
        <f t="shared" si="288"/>
        <v>0.44407686448545358</v>
      </c>
    </row>
    <row r="68" spans="2:40" ht="16.5" customHeight="1" outlineLevel="1" x14ac:dyDescent="0.25">
      <c r="B68" s="52" t="s">
        <v>289</v>
      </c>
      <c r="C68" s="64" t="s">
        <v>22</v>
      </c>
      <c r="D68" s="71">
        <v>0</v>
      </c>
      <c r="E68" s="71">
        <v>0</v>
      </c>
      <c r="F68" s="71">
        <v>0</v>
      </c>
      <c r="G68" s="167">
        <f t="shared" si="262"/>
        <v>0</v>
      </c>
      <c r="H68" s="223">
        <f t="shared" si="263"/>
        <v>0</v>
      </c>
      <c r="I68" s="71">
        <v>0</v>
      </c>
      <c r="J68" s="167">
        <f t="shared" si="273"/>
        <v>0</v>
      </c>
      <c r="K68" s="203">
        <f t="shared" si="274"/>
        <v>0</v>
      </c>
      <c r="L68" s="71">
        <v>0</v>
      </c>
      <c r="M68" s="167">
        <f t="shared" si="275"/>
        <v>0</v>
      </c>
      <c r="N68" s="223">
        <f t="shared" si="276"/>
        <v>0</v>
      </c>
      <c r="O68" s="71"/>
      <c r="P68" s="161"/>
      <c r="Q68" s="161"/>
      <c r="R68" s="71"/>
      <c r="S68" s="167">
        <f t="shared" si="277"/>
        <v>0</v>
      </c>
      <c r="T68" s="203">
        <f t="shared" si="278"/>
        <v>0</v>
      </c>
      <c r="U68" s="213">
        <f t="shared" si="264"/>
        <v>0</v>
      </c>
      <c r="V68" s="199">
        <f t="shared" si="265"/>
        <v>0</v>
      </c>
      <c r="X68" s="71">
        <f t="shared" si="266"/>
        <v>274</v>
      </c>
      <c r="Y68" s="167">
        <f t="shared" si="267"/>
        <v>274</v>
      </c>
      <c r="Z68" s="203">
        <f t="shared" si="268"/>
        <v>0</v>
      </c>
      <c r="AA68" s="70">
        <f t="shared" si="269"/>
        <v>1449</v>
      </c>
      <c r="AB68" s="167">
        <f t="shared" si="279"/>
        <v>1723</v>
      </c>
      <c r="AC68" s="223">
        <f t="shared" si="280"/>
        <v>5.288321167883212</v>
      </c>
      <c r="AD68" s="71">
        <f t="shared" si="270"/>
        <v>1050</v>
      </c>
      <c r="AE68" s="167">
        <f t="shared" si="281"/>
        <v>2773</v>
      </c>
      <c r="AF68" s="203">
        <f t="shared" si="282"/>
        <v>0.60940220545560064</v>
      </c>
      <c r="AG68" s="70">
        <f t="shared" si="271"/>
        <v>1050</v>
      </c>
      <c r="AH68" s="167">
        <f t="shared" si="283"/>
        <v>3823</v>
      </c>
      <c r="AI68" s="223">
        <f t="shared" si="284"/>
        <v>0.37865128020194733</v>
      </c>
      <c r="AJ68" s="71">
        <f t="shared" si="272"/>
        <v>525</v>
      </c>
      <c r="AK68" s="167">
        <f t="shared" si="285"/>
        <v>4348</v>
      </c>
      <c r="AL68" s="203">
        <f t="shared" si="286"/>
        <v>0.1373267067747842</v>
      </c>
      <c r="AM68" s="198">
        <f t="shared" si="287"/>
        <v>4348</v>
      </c>
      <c r="AN68" s="199">
        <f t="shared" si="288"/>
        <v>0.99588145623801028</v>
      </c>
    </row>
    <row r="69" spans="2:40" ht="16.5" customHeight="1" outlineLevel="1" x14ac:dyDescent="0.25">
      <c r="B69" s="52" t="s">
        <v>290</v>
      </c>
      <c r="C69" s="64" t="s">
        <v>22</v>
      </c>
      <c r="D69" s="71">
        <v>0</v>
      </c>
      <c r="E69" s="71">
        <v>0</v>
      </c>
      <c r="F69" s="71">
        <v>0</v>
      </c>
      <c r="G69" s="167">
        <f t="shared" si="262"/>
        <v>0</v>
      </c>
      <c r="H69" s="223">
        <f t="shared" si="263"/>
        <v>0</v>
      </c>
      <c r="I69" s="71">
        <v>0</v>
      </c>
      <c r="J69" s="167">
        <f t="shared" si="273"/>
        <v>0</v>
      </c>
      <c r="K69" s="203">
        <f t="shared" si="274"/>
        <v>0</v>
      </c>
      <c r="L69" s="71">
        <v>0</v>
      </c>
      <c r="M69" s="167">
        <f t="shared" si="275"/>
        <v>0</v>
      </c>
      <c r="N69" s="223">
        <f t="shared" si="276"/>
        <v>0</v>
      </c>
      <c r="O69" s="71"/>
      <c r="P69" s="161"/>
      <c r="Q69" s="161"/>
      <c r="R69" s="71"/>
      <c r="S69" s="167">
        <f t="shared" si="277"/>
        <v>0</v>
      </c>
      <c r="T69" s="203">
        <f t="shared" si="278"/>
        <v>0</v>
      </c>
      <c r="U69" s="213">
        <f t="shared" si="264"/>
        <v>0</v>
      </c>
      <c r="V69" s="199">
        <f t="shared" si="265"/>
        <v>0</v>
      </c>
      <c r="X69" s="71">
        <f t="shared" si="266"/>
        <v>362</v>
      </c>
      <c r="Y69" s="167">
        <f t="shared" si="267"/>
        <v>362</v>
      </c>
      <c r="Z69" s="203">
        <f t="shared" si="268"/>
        <v>0</v>
      </c>
      <c r="AA69" s="70">
        <f t="shared" si="269"/>
        <v>1399</v>
      </c>
      <c r="AB69" s="167">
        <f t="shared" si="279"/>
        <v>1761</v>
      </c>
      <c r="AC69" s="223">
        <f t="shared" si="280"/>
        <v>3.8646408839779007</v>
      </c>
      <c r="AD69" s="71">
        <f t="shared" si="270"/>
        <v>1229</v>
      </c>
      <c r="AE69" s="167">
        <f t="shared" si="281"/>
        <v>2990</v>
      </c>
      <c r="AF69" s="203">
        <f t="shared" si="282"/>
        <v>0.69789892106757523</v>
      </c>
      <c r="AG69" s="70">
        <f t="shared" si="271"/>
        <v>1050</v>
      </c>
      <c r="AH69" s="167">
        <f t="shared" si="283"/>
        <v>4040</v>
      </c>
      <c r="AI69" s="223">
        <f t="shared" si="284"/>
        <v>0.3511705685618729</v>
      </c>
      <c r="AJ69" s="71">
        <f t="shared" si="272"/>
        <v>525</v>
      </c>
      <c r="AK69" s="167">
        <f t="shared" si="285"/>
        <v>4565</v>
      </c>
      <c r="AL69" s="203">
        <f t="shared" si="286"/>
        <v>0.12995049504950495</v>
      </c>
      <c r="AM69" s="198">
        <f t="shared" si="287"/>
        <v>4565</v>
      </c>
      <c r="AN69" s="199">
        <f t="shared" si="288"/>
        <v>0.88444320499540141</v>
      </c>
    </row>
    <row r="70" spans="2:40" ht="16.5" customHeight="1" outlineLevel="1" x14ac:dyDescent="0.25">
      <c r="B70" s="52" t="s">
        <v>291</v>
      </c>
      <c r="C70" s="64" t="s">
        <v>22</v>
      </c>
      <c r="D70" s="71">
        <v>0</v>
      </c>
      <c r="E70" s="71">
        <v>0</v>
      </c>
      <c r="F70" s="71">
        <v>0</v>
      </c>
      <c r="G70" s="167">
        <f t="shared" si="262"/>
        <v>0</v>
      </c>
      <c r="H70" s="223">
        <f t="shared" si="263"/>
        <v>0</v>
      </c>
      <c r="I70" s="71">
        <v>0</v>
      </c>
      <c r="J70" s="167">
        <f t="shared" si="273"/>
        <v>0</v>
      </c>
      <c r="K70" s="203">
        <f t="shared" si="274"/>
        <v>0</v>
      </c>
      <c r="L70" s="71">
        <v>0</v>
      </c>
      <c r="M70" s="167">
        <f t="shared" si="275"/>
        <v>0</v>
      </c>
      <c r="N70" s="223">
        <f t="shared" si="276"/>
        <v>0</v>
      </c>
      <c r="O70" s="71">
        <f>O46</f>
        <v>37</v>
      </c>
      <c r="P70" s="161"/>
      <c r="Q70" s="161"/>
      <c r="R70" s="71">
        <v>1158</v>
      </c>
      <c r="S70" s="167">
        <f t="shared" si="277"/>
        <v>1158</v>
      </c>
      <c r="T70" s="203">
        <f t="shared" si="278"/>
        <v>0</v>
      </c>
      <c r="U70" s="213">
        <f t="shared" si="264"/>
        <v>1158</v>
      </c>
      <c r="V70" s="199">
        <f t="shared" si="265"/>
        <v>0</v>
      </c>
      <c r="X70" s="71">
        <f t="shared" si="266"/>
        <v>147</v>
      </c>
      <c r="Y70" s="167">
        <f t="shared" si="267"/>
        <v>1305</v>
      </c>
      <c r="Z70" s="203">
        <f t="shared" si="268"/>
        <v>0.12694300518134716</v>
      </c>
      <c r="AA70" s="70">
        <f t="shared" si="269"/>
        <v>111</v>
      </c>
      <c r="AB70" s="167">
        <f t="shared" si="279"/>
        <v>1416</v>
      </c>
      <c r="AC70" s="223">
        <f t="shared" si="280"/>
        <v>8.5057471264367815E-2</v>
      </c>
      <c r="AD70" s="71">
        <f t="shared" si="270"/>
        <v>25</v>
      </c>
      <c r="AE70" s="167">
        <f t="shared" si="281"/>
        <v>1441</v>
      </c>
      <c r="AF70" s="203">
        <f t="shared" si="282"/>
        <v>1.7655367231638418E-2</v>
      </c>
      <c r="AG70" s="70">
        <f t="shared" si="271"/>
        <v>25</v>
      </c>
      <c r="AH70" s="167">
        <f t="shared" si="283"/>
        <v>1466</v>
      </c>
      <c r="AI70" s="223">
        <f t="shared" si="284"/>
        <v>1.7349063150589868E-2</v>
      </c>
      <c r="AJ70" s="71">
        <f t="shared" si="272"/>
        <v>17</v>
      </c>
      <c r="AK70" s="167">
        <f t="shared" si="285"/>
        <v>1483</v>
      </c>
      <c r="AL70" s="203">
        <f t="shared" si="286"/>
        <v>1.1596180081855388E-2</v>
      </c>
      <c r="AM70" s="198">
        <f t="shared" si="287"/>
        <v>325</v>
      </c>
      <c r="AN70" s="199">
        <f t="shared" si="288"/>
        <v>3.2482406083759185E-2</v>
      </c>
    </row>
    <row r="71" spans="2:40" ht="16.5" customHeight="1" outlineLevel="1" x14ac:dyDescent="0.25">
      <c r="B71" s="52" t="s">
        <v>307</v>
      </c>
      <c r="C71" s="64"/>
      <c r="D71" s="71"/>
      <c r="E71" s="71"/>
      <c r="F71" s="71"/>
      <c r="G71" s="167"/>
      <c r="H71" s="223">
        <f t="shared" si="263"/>
        <v>0</v>
      </c>
      <c r="I71" s="71"/>
      <c r="J71" s="167"/>
      <c r="K71" s="203">
        <f t="shared" si="274"/>
        <v>0</v>
      </c>
      <c r="L71" s="71"/>
      <c r="M71" s="167"/>
      <c r="N71" s="223">
        <f t="shared" si="276"/>
        <v>0</v>
      </c>
      <c r="O71" s="71"/>
      <c r="P71" s="161"/>
      <c r="Q71" s="161"/>
      <c r="R71" s="71"/>
      <c r="S71" s="167"/>
      <c r="T71" s="203">
        <f t="shared" si="278"/>
        <v>0</v>
      </c>
      <c r="U71" s="213"/>
      <c r="V71" s="199">
        <f t="shared" si="265"/>
        <v>0</v>
      </c>
      <c r="X71" s="71">
        <f t="shared" si="266"/>
        <v>55</v>
      </c>
      <c r="Y71" s="167">
        <f t="shared" ref="Y71:Y75" si="289">S71+X71</f>
        <v>55</v>
      </c>
      <c r="Z71" s="203">
        <f t="shared" si="268"/>
        <v>0</v>
      </c>
      <c r="AA71" s="70">
        <f t="shared" si="269"/>
        <v>85</v>
      </c>
      <c r="AB71" s="167">
        <f t="shared" ref="AB71:AB75" si="290">Y71+AA71</f>
        <v>140</v>
      </c>
      <c r="AC71" s="223">
        <f t="shared" si="280"/>
        <v>1.5454545454545454</v>
      </c>
      <c r="AD71" s="71">
        <f t="shared" si="270"/>
        <v>90</v>
      </c>
      <c r="AE71" s="167">
        <f t="shared" ref="AE71:AE75" si="291">AB71+AD71</f>
        <v>230</v>
      </c>
      <c r="AF71" s="203">
        <f t="shared" si="282"/>
        <v>0.6428571428571429</v>
      </c>
      <c r="AG71" s="70">
        <f t="shared" si="271"/>
        <v>55</v>
      </c>
      <c r="AH71" s="167">
        <f t="shared" ref="AH71:AH75" si="292">AE71+AG71</f>
        <v>285</v>
      </c>
      <c r="AI71" s="223">
        <f t="shared" si="284"/>
        <v>0.2391304347826087</v>
      </c>
      <c r="AJ71" s="71">
        <f t="shared" si="272"/>
        <v>45</v>
      </c>
      <c r="AK71" s="167">
        <f t="shared" ref="AK71:AK75" si="293">AH71+AJ71</f>
        <v>330</v>
      </c>
      <c r="AL71" s="203">
        <f t="shared" si="286"/>
        <v>0.15789473684210525</v>
      </c>
      <c r="AM71" s="198">
        <f t="shared" si="287"/>
        <v>330</v>
      </c>
      <c r="AN71" s="199">
        <f t="shared" si="288"/>
        <v>0.56508458007328732</v>
      </c>
    </row>
    <row r="72" spans="2:40" ht="16.5" customHeight="1" outlineLevel="1" x14ac:dyDescent="0.25">
      <c r="B72" s="52" t="s">
        <v>304</v>
      </c>
      <c r="C72" s="64"/>
      <c r="D72" s="71"/>
      <c r="E72" s="71"/>
      <c r="F72" s="71"/>
      <c r="G72" s="167"/>
      <c r="H72" s="223">
        <f t="shared" si="263"/>
        <v>0</v>
      </c>
      <c r="I72" s="71"/>
      <c r="J72" s="167"/>
      <c r="K72" s="203">
        <f t="shared" si="274"/>
        <v>0</v>
      </c>
      <c r="L72" s="71"/>
      <c r="M72" s="167"/>
      <c r="N72" s="223">
        <f t="shared" si="276"/>
        <v>0</v>
      </c>
      <c r="O72" s="71"/>
      <c r="P72" s="161"/>
      <c r="Q72" s="161"/>
      <c r="R72" s="71"/>
      <c r="S72" s="167"/>
      <c r="T72" s="203">
        <f t="shared" si="278"/>
        <v>0</v>
      </c>
      <c r="U72" s="213"/>
      <c r="V72" s="199">
        <f t="shared" si="265"/>
        <v>0</v>
      </c>
      <c r="X72" s="71">
        <f t="shared" si="266"/>
        <v>55</v>
      </c>
      <c r="Y72" s="167">
        <f t="shared" si="289"/>
        <v>55</v>
      </c>
      <c r="Z72" s="203">
        <f t="shared" si="268"/>
        <v>0</v>
      </c>
      <c r="AA72" s="70">
        <f t="shared" si="269"/>
        <v>85</v>
      </c>
      <c r="AB72" s="167">
        <f t="shared" si="290"/>
        <v>140</v>
      </c>
      <c r="AC72" s="223">
        <f t="shared" si="280"/>
        <v>1.5454545454545454</v>
      </c>
      <c r="AD72" s="71">
        <f t="shared" si="270"/>
        <v>140</v>
      </c>
      <c r="AE72" s="167">
        <f t="shared" si="291"/>
        <v>280</v>
      </c>
      <c r="AF72" s="203">
        <f t="shared" si="282"/>
        <v>1</v>
      </c>
      <c r="AG72" s="70">
        <f t="shared" si="271"/>
        <v>65</v>
      </c>
      <c r="AH72" s="167">
        <f t="shared" si="292"/>
        <v>345</v>
      </c>
      <c r="AI72" s="223">
        <f t="shared" si="284"/>
        <v>0.23214285714285715</v>
      </c>
      <c r="AJ72" s="71">
        <f t="shared" si="272"/>
        <v>45</v>
      </c>
      <c r="AK72" s="167">
        <f t="shared" si="293"/>
        <v>390</v>
      </c>
      <c r="AL72" s="203">
        <f t="shared" si="286"/>
        <v>0.13043478260869565</v>
      </c>
      <c r="AM72" s="198">
        <f t="shared" si="287"/>
        <v>390</v>
      </c>
      <c r="AN72" s="199">
        <f t="shared" si="288"/>
        <v>0.63183212794569754</v>
      </c>
    </row>
    <row r="73" spans="2:40" ht="16.5" customHeight="1" outlineLevel="1" x14ac:dyDescent="0.25">
      <c r="B73" s="52" t="s">
        <v>305</v>
      </c>
      <c r="C73" s="64"/>
      <c r="D73" s="71"/>
      <c r="E73" s="71"/>
      <c r="F73" s="71"/>
      <c r="G73" s="167"/>
      <c r="H73" s="223">
        <f t="shared" si="263"/>
        <v>0</v>
      </c>
      <c r="I73" s="71"/>
      <c r="J73" s="167"/>
      <c r="K73" s="203">
        <f t="shared" si="274"/>
        <v>0</v>
      </c>
      <c r="L73" s="71"/>
      <c r="M73" s="167"/>
      <c r="N73" s="223">
        <f t="shared" si="276"/>
        <v>0</v>
      </c>
      <c r="O73" s="71"/>
      <c r="P73" s="161"/>
      <c r="Q73" s="161"/>
      <c r="R73" s="71"/>
      <c r="S73" s="167"/>
      <c r="T73" s="203">
        <f t="shared" si="278"/>
        <v>0</v>
      </c>
      <c r="U73" s="213"/>
      <c r="V73" s="199">
        <f t="shared" si="265"/>
        <v>0</v>
      </c>
      <c r="X73" s="71">
        <f t="shared" si="266"/>
        <v>55</v>
      </c>
      <c r="Y73" s="167">
        <f t="shared" si="289"/>
        <v>55</v>
      </c>
      <c r="Z73" s="203">
        <f t="shared" si="268"/>
        <v>0</v>
      </c>
      <c r="AA73" s="70">
        <f t="shared" si="269"/>
        <v>85</v>
      </c>
      <c r="AB73" s="167">
        <f t="shared" si="290"/>
        <v>140</v>
      </c>
      <c r="AC73" s="223">
        <f t="shared" si="280"/>
        <v>1.5454545454545454</v>
      </c>
      <c r="AD73" s="71">
        <f t="shared" si="270"/>
        <v>120</v>
      </c>
      <c r="AE73" s="167">
        <f t="shared" si="291"/>
        <v>260</v>
      </c>
      <c r="AF73" s="203">
        <f t="shared" si="282"/>
        <v>0.8571428571428571</v>
      </c>
      <c r="AG73" s="70">
        <f t="shared" si="271"/>
        <v>55</v>
      </c>
      <c r="AH73" s="167">
        <f t="shared" si="292"/>
        <v>315</v>
      </c>
      <c r="AI73" s="223">
        <f t="shared" si="284"/>
        <v>0.21153846153846154</v>
      </c>
      <c r="AJ73" s="71">
        <f t="shared" si="272"/>
        <v>45</v>
      </c>
      <c r="AK73" s="167">
        <f t="shared" si="293"/>
        <v>360</v>
      </c>
      <c r="AL73" s="203">
        <f t="shared" si="286"/>
        <v>0.14285714285714285</v>
      </c>
      <c r="AM73" s="198">
        <f t="shared" si="287"/>
        <v>360</v>
      </c>
      <c r="AN73" s="199">
        <f t="shared" si="288"/>
        <v>0.59950260902173125</v>
      </c>
    </row>
    <row r="74" spans="2:40" ht="16.5" customHeight="1" outlineLevel="1" x14ac:dyDescent="0.25">
      <c r="B74" s="52" t="s">
        <v>306</v>
      </c>
      <c r="C74" s="64"/>
      <c r="D74" s="71"/>
      <c r="E74" s="71"/>
      <c r="F74" s="71"/>
      <c r="G74" s="167"/>
      <c r="H74" s="223">
        <f t="shared" si="263"/>
        <v>0</v>
      </c>
      <c r="I74" s="71"/>
      <c r="J74" s="167"/>
      <c r="K74" s="203">
        <f t="shared" si="274"/>
        <v>0</v>
      </c>
      <c r="L74" s="71"/>
      <c r="M74" s="167"/>
      <c r="N74" s="223">
        <f t="shared" si="276"/>
        <v>0</v>
      </c>
      <c r="O74" s="71"/>
      <c r="P74" s="161"/>
      <c r="Q74" s="161"/>
      <c r="R74" s="71"/>
      <c r="S74" s="167"/>
      <c r="T74" s="203">
        <f t="shared" si="278"/>
        <v>0</v>
      </c>
      <c r="U74" s="213"/>
      <c r="V74" s="199">
        <f t="shared" si="265"/>
        <v>0</v>
      </c>
      <c r="X74" s="71">
        <f t="shared" si="266"/>
        <v>106</v>
      </c>
      <c r="Y74" s="167">
        <f t="shared" si="289"/>
        <v>106</v>
      </c>
      <c r="Z74" s="203">
        <f t="shared" si="268"/>
        <v>0</v>
      </c>
      <c r="AA74" s="70">
        <f t="shared" si="269"/>
        <v>124</v>
      </c>
      <c r="AB74" s="167">
        <f t="shared" si="290"/>
        <v>230</v>
      </c>
      <c r="AC74" s="223">
        <f t="shared" si="280"/>
        <v>1.1698113207547169</v>
      </c>
      <c r="AD74" s="71">
        <f t="shared" si="270"/>
        <v>162</v>
      </c>
      <c r="AE74" s="167">
        <f t="shared" si="291"/>
        <v>392</v>
      </c>
      <c r="AF74" s="203">
        <f t="shared" si="282"/>
        <v>0.70434782608695656</v>
      </c>
      <c r="AG74" s="70">
        <f t="shared" si="271"/>
        <v>159</v>
      </c>
      <c r="AH74" s="167">
        <f t="shared" si="292"/>
        <v>551</v>
      </c>
      <c r="AI74" s="223">
        <f t="shared" si="284"/>
        <v>0.40561224489795916</v>
      </c>
      <c r="AJ74" s="71">
        <f t="shared" si="272"/>
        <v>100</v>
      </c>
      <c r="AK74" s="167">
        <f t="shared" si="293"/>
        <v>651</v>
      </c>
      <c r="AL74" s="203">
        <f t="shared" si="286"/>
        <v>0.18148820326678766</v>
      </c>
      <c r="AM74" s="198">
        <f t="shared" si="287"/>
        <v>651</v>
      </c>
      <c r="AN74" s="199">
        <f t="shared" si="288"/>
        <v>0.57423216170350977</v>
      </c>
    </row>
    <row r="75" spans="2:40" ht="16.5" customHeight="1" outlineLevel="1" x14ac:dyDescent="0.25">
      <c r="B75" s="52" t="s">
        <v>308</v>
      </c>
      <c r="C75" s="64"/>
      <c r="D75" s="71"/>
      <c r="E75" s="71"/>
      <c r="F75" s="71"/>
      <c r="G75" s="167"/>
      <c r="H75" s="223">
        <f t="shared" si="263"/>
        <v>0</v>
      </c>
      <c r="I75" s="71"/>
      <c r="J75" s="167"/>
      <c r="K75" s="203">
        <f t="shared" si="274"/>
        <v>0</v>
      </c>
      <c r="L75" s="71"/>
      <c r="M75" s="167"/>
      <c r="N75" s="223">
        <f t="shared" si="276"/>
        <v>0</v>
      </c>
      <c r="O75" s="71"/>
      <c r="P75" s="161"/>
      <c r="Q75" s="161"/>
      <c r="R75" s="71"/>
      <c r="S75" s="167"/>
      <c r="T75" s="203">
        <f t="shared" si="278"/>
        <v>0</v>
      </c>
      <c r="U75" s="213"/>
      <c r="V75" s="199">
        <f t="shared" si="265"/>
        <v>0</v>
      </c>
      <c r="X75" s="71">
        <f t="shared" si="266"/>
        <v>85</v>
      </c>
      <c r="Y75" s="167">
        <f t="shared" si="289"/>
        <v>85</v>
      </c>
      <c r="Z75" s="203">
        <f t="shared" si="268"/>
        <v>0</v>
      </c>
      <c r="AA75" s="70">
        <f t="shared" si="269"/>
        <v>100</v>
      </c>
      <c r="AB75" s="167">
        <f t="shared" si="290"/>
        <v>185</v>
      </c>
      <c r="AC75" s="223">
        <f t="shared" si="280"/>
        <v>1.1764705882352942</v>
      </c>
      <c r="AD75" s="71">
        <f t="shared" si="270"/>
        <v>122</v>
      </c>
      <c r="AE75" s="167">
        <f t="shared" si="291"/>
        <v>307</v>
      </c>
      <c r="AF75" s="203">
        <f t="shared" si="282"/>
        <v>0.6594594594594595</v>
      </c>
      <c r="AG75" s="70">
        <f t="shared" si="271"/>
        <v>100</v>
      </c>
      <c r="AH75" s="167">
        <f t="shared" si="292"/>
        <v>407</v>
      </c>
      <c r="AI75" s="223">
        <f t="shared" si="284"/>
        <v>0.32573289902280128</v>
      </c>
      <c r="AJ75" s="71">
        <f t="shared" si="272"/>
        <v>100</v>
      </c>
      <c r="AK75" s="167">
        <f t="shared" si="293"/>
        <v>507</v>
      </c>
      <c r="AL75" s="203">
        <f t="shared" si="286"/>
        <v>0.24570024570024571</v>
      </c>
      <c r="AM75" s="198">
        <f t="shared" si="287"/>
        <v>507</v>
      </c>
      <c r="AN75" s="199">
        <f t="shared" si="288"/>
        <v>0.56277789056285377</v>
      </c>
    </row>
    <row r="76" spans="2:40" ht="16.5" customHeight="1" outlineLevel="1" x14ac:dyDescent="0.25">
      <c r="B76" s="52"/>
      <c r="C76" s="64"/>
      <c r="D76" s="71"/>
      <c r="E76" s="71"/>
      <c r="F76" s="71"/>
      <c r="G76" s="167"/>
      <c r="H76" s="223">
        <f t="shared" si="263"/>
        <v>0</v>
      </c>
      <c r="I76" s="71"/>
      <c r="J76" s="167"/>
      <c r="K76" s="203">
        <f t="shared" si="274"/>
        <v>0</v>
      </c>
      <c r="L76" s="71"/>
      <c r="M76" s="167"/>
      <c r="N76" s="223">
        <f t="shared" si="276"/>
        <v>0</v>
      </c>
      <c r="O76" s="71"/>
      <c r="P76" s="161"/>
      <c r="Q76" s="161"/>
      <c r="R76" s="71"/>
      <c r="S76" s="167"/>
      <c r="T76" s="203">
        <f t="shared" si="278"/>
        <v>0</v>
      </c>
      <c r="U76" s="213"/>
      <c r="V76" s="199">
        <f t="shared" si="265"/>
        <v>0</v>
      </c>
      <c r="X76" s="71"/>
      <c r="Y76" s="167"/>
      <c r="Z76" s="203">
        <f t="shared" si="268"/>
        <v>0</v>
      </c>
      <c r="AA76" s="70"/>
      <c r="AB76" s="167"/>
      <c r="AC76" s="223">
        <f t="shared" si="280"/>
        <v>0</v>
      </c>
      <c r="AD76" s="71"/>
      <c r="AE76" s="167"/>
      <c r="AF76" s="203">
        <f t="shared" si="282"/>
        <v>0</v>
      </c>
      <c r="AG76" s="70"/>
      <c r="AH76" s="167"/>
      <c r="AI76" s="223">
        <f t="shared" si="284"/>
        <v>0</v>
      </c>
      <c r="AJ76" s="71"/>
      <c r="AK76" s="167"/>
      <c r="AL76" s="203">
        <f t="shared" si="286"/>
        <v>0</v>
      </c>
      <c r="AM76" s="198"/>
      <c r="AN76" s="199">
        <f t="shared" si="288"/>
        <v>0</v>
      </c>
    </row>
    <row r="77" spans="2:40" ht="15" customHeight="1" outlineLevel="1" x14ac:dyDescent="0.25">
      <c r="B77" s="349" t="s">
        <v>90</v>
      </c>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97"/>
    </row>
    <row r="78" spans="2:40" ht="15" customHeight="1" outlineLevel="1" x14ac:dyDescent="0.25">
      <c r="B78" s="52" t="s">
        <v>82</v>
      </c>
      <c r="C78" s="49" t="s">
        <v>22</v>
      </c>
      <c r="D78" s="207">
        <f>SUM(D62:D76)</f>
        <v>0</v>
      </c>
      <c r="E78" s="208">
        <f>SUM(E62:E76)</f>
        <v>0</v>
      </c>
      <c r="F78" s="225">
        <f>SUM(F62:F76)</f>
        <v>0</v>
      </c>
      <c r="G78" s="172">
        <f>SUM(G62:G76)</f>
        <v>0</v>
      </c>
      <c r="H78" s="224">
        <f>IFERROR((G78-E78)/E78,0)</f>
        <v>0</v>
      </c>
      <c r="I78" s="207">
        <f>SUM(I62:I76)</f>
        <v>0</v>
      </c>
      <c r="J78" s="172">
        <f>SUM(J62:J76)</f>
        <v>0</v>
      </c>
      <c r="K78" s="202">
        <f t="shared" ref="K78" si="294">IFERROR((J78-G78)/G78,0)</f>
        <v>0</v>
      </c>
      <c r="L78" s="225">
        <f>SUM(L62:L76)</f>
        <v>0</v>
      </c>
      <c r="M78" s="172">
        <f>SUM(M62:M76)</f>
        <v>0</v>
      </c>
      <c r="N78" s="224">
        <f t="shared" ref="N78" si="295">IFERROR((M78-J78)/J78,0)</f>
        <v>0</v>
      </c>
      <c r="O78" s="207">
        <f>SUM(O62:O76)</f>
        <v>63</v>
      </c>
      <c r="P78" s="161"/>
      <c r="Q78" s="161"/>
      <c r="R78" s="207">
        <f>SUM(R62:R76)</f>
        <v>1184</v>
      </c>
      <c r="S78" s="172">
        <f>SUM(S62:S76)</f>
        <v>1184</v>
      </c>
      <c r="T78" s="202">
        <f t="shared" ref="T78" si="296">IFERROR((S78-M78)/M78,0)</f>
        <v>0</v>
      </c>
      <c r="U78" s="215">
        <f>SUM(U62:U76)</f>
        <v>1184</v>
      </c>
      <c r="V78" s="192">
        <f>IFERROR((S78/E78)^(1/4)-1,0)</f>
        <v>0</v>
      </c>
      <c r="X78" s="188">
        <f>SUM(X62:X76)</f>
        <v>2038</v>
      </c>
      <c r="Y78" s="215">
        <f>SUM(Y62:Y76)</f>
        <v>3222</v>
      </c>
      <c r="Z78" s="202">
        <f>IFERROR((Y78-S78)/S78,0)</f>
        <v>1.7212837837837838</v>
      </c>
      <c r="AA78" s="188">
        <f>SUM(AA62:AA76)</f>
        <v>6368</v>
      </c>
      <c r="AB78" s="215">
        <f>SUM(AB62:AB76)</f>
        <v>9590</v>
      </c>
      <c r="AC78" s="217">
        <f>IFERROR((AB78-Y78)/Y78,0)</f>
        <v>1.9764121663563003</v>
      </c>
      <c r="AD78" s="188">
        <f>SUM(AD62:AD76)</f>
        <v>5279</v>
      </c>
      <c r="AE78" s="215">
        <f>SUM(AE62:AE76)</f>
        <v>14869</v>
      </c>
      <c r="AF78" s="216">
        <f>IFERROR((AE78-AB78)/AB78,0)</f>
        <v>0.55046923879040666</v>
      </c>
      <c r="AG78" s="188">
        <f>SUM(AG62:AG76)</f>
        <v>3734</v>
      </c>
      <c r="AH78" s="215">
        <f>SUM(AH62:AH76)</f>
        <v>18603</v>
      </c>
      <c r="AI78" s="217">
        <f>IFERROR((AH78-AE78)/AE78,0)</f>
        <v>0.25112650480866233</v>
      </c>
      <c r="AJ78" s="188">
        <f>SUM(AJ62:AJ76)</f>
        <v>1971</v>
      </c>
      <c r="AK78" s="215">
        <f>SUM(AK62:AK76)</f>
        <v>20574</v>
      </c>
      <c r="AL78" s="191">
        <f>IFERROR((AK78-AH78)/AH78,0)</f>
        <v>0.10595065312046444</v>
      </c>
      <c r="AM78" s="215">
        <f>SUM(AM62:AM76)</f>
        <v>19390</v>
      </c>
      <c r="AN78" s="199">
        <f t="shared" ref="AN78" si="297">IFERROR((AK78/Y78)^(1/4)-1,0)</f>
        <v>0.58963823388944991</v>
      </c>
    </row>
    <row r="79" spans="2:40" ht="15" customHeight="1" x14ac:dyDescent="0.25">
      <c r="B79" s="17"/>
    </row>
    <row r="80" spans="2:40" ht="15" customHeight="1" x14ac:dyDescent="0.25">
      <c r="B80" s="17"/>
    </row>
    <row r="81" spans="2:40" ht="15.75" x14ac:dyDescent="0.25">
      <c r="B81" s="352" t="s">
        <v>206</v>
      </c>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52"/>
      <c r="AM81" s="352"/>
      <c r="AN81" s="352"/>
    </row>
    <row r="82" spans="2:40" ht="5.45" customHeight="1" outlineLevel="1" x14ac:dyDescent="0.2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row>
    <row r="83" spans="2:40" outlineLevel="1" x14ac:dyDescent="0.25">
      <c r="B83" s="393"/>
      <c r="C83" s="396" t="s">
        <v>20</v>
      </c>
      <c r="D83" s="372" t="s">
        <v>262</v>
      </c>
      <c r="E83" s="373"/>
      <c r="F83" s="373"/>
      <c r="G83" s="373"/>
      <c r="H83" s="373"/>
      <c r="I83" s="373"/>
      <c r="J83" s="373"/>
      <c r="K83" s="373"/>
      <c r="L83" s="373"/>
      <c r="M83" s="373"/>
      <c r="N83" s="373"/>
      <c r="O83" s="373"/>
      <c r="P83" s="373"/>
      <c r="Q83" s="374"/>
      <c r="R83" s="372" t="s">
        <v>260</v>
      </c>
      <c r="S83" s="373"/>
      <c r="T83" s="374"/>
      <c r="U83" s="388" t="str">
        <f xml:space="preserve"> D84&amp;" - "&amp;R84</f>
        <v>2018 - 2022</v>
      </c>
      <c r="V83" s="398"/>
      <c r="X83" s="372" t="s">
        <v>263</v>
      </c>
      <c r="Y83" s="373"/>
      <c r="Z83" s="373"/>
      <c r="AA83" s="373"/>
      <c r="AB83" s="373"/>
      <c r="AC83" s="373"/>
      <c r="AD83" s="373"/>
      <c r="AE83" s="373"/>
      <c r="AF83" s="373"/>
      <c r="AG83" s="373"/>
      <c r="AH83" s="373"/>
      <c r="AI83" s="373"/>
      <c r="AJ83" s="373"/>
      <c r="AK83" s="373"/>
      <c r="AL83" s="373"/>
      <c r="AM83" s="373"/>
      <c r="AN83" s="374"/>
    </row>
    <row r="84" spans="2:40" outlineLevel="1" x14ac:dyDescent="0.25">
      <c r="B84" s="394"/>
      <c r="C84" s="396"/>
      <c r="D84" s="372">
        <f>$C$3-5</f>
        <v>2018</v>
      </c>
      <c r="E84" s="374"/>
      <c r="F84" s="373">
        <f>$C$3-4</f>
        <v>2019</v>
      </c>
      <c r="G84" s="373"/>
      <c r="H84" s="373"/>
      <c r="I84" s="372">
        <f>$C$3-3</f>
        <v>2020</v>
      </c>
      <c r="J84" s="373"/>
      <c r="K84" s="374"/>
      <c r="L84" s="372">
        <f>$C$3-2</f>
        <v>2021</v>
      </c>
      <c r="M84" s="373"/>
      <c r="N84" s="374"/>
      <c r="O84" s="372" t="str">
        <f>$C$3-1&amp;""&amp;" ("&amp;"Σεπτ"&amp;")"</f>
        <v>2022 (Σεπτ)</v>
      </c>
      <c r="P84" s="373"/>
      <c r="Q84" s="374"/>
      <c r="R84" s="372">
        <f>$C$3-1</f>
        <v>2022</v>
      </c>
      <c r="S84" s="373"/>
      <c r="T84" s="374"/>
      <c r="U84" s="390"/>
      <c r="V84" s="399"/>
      <c r="X84" s="372">
        <f>$C$3</f>
        <v>2023</v>
      </c>
      <c r="Y84" s="373"/>
      <c r="Z84" s="374"/>
      <c r="AA84" s="373">
        <f>$C$3+1</f>
        <v>2024</v>
      </c>
      <c r="AB84" s="373"/>
      <c r="AC84" s="373"/>
      <c r="AD84" s="372">
        <f>$C$3+2</f>
        <v>2025</v>
      </c>
      <c r="AE84" s="373"/>
      <c r="AF84" s="374"/>
      <c r="AG84" s="373">
        <f>$C$3+3</f>
        <v>2026</v>
      </c>
      <c r="AH84" s="373"/>
      <c r="AI84" s="373"/>
      <c r="AJ84" s="372">
        <f>$C$3+4</f>
        <v>2027</v>
      </c>
      <c r="AK84" s="373"/>
      <c r="AL84" s="374"/>
      <c r="AM84" s="376" t="str">
        <f>X84&amp;" - "&amp;AJ84</f>
        <v>2023 - 2027</v>
      </c>
      <c r="AN84" s="392"/>
    </row>
    <row r="85" spans="2:40" ht="30" outlineLevel="1" x14ac:dyDescent="0.25">
      <c r="B85" s="395"/>
      <c r="C85" s="396"/>
      <c r="D85" s="67" t="s">
        <v>6</v>
      </c>
      <c r="E85" s="68" t="s">
        <v>7</v>
      </c>
      <c r="F85" s="78" t="s">
        <v>6</v>
      </c>
      <c r="G85" s="9" t="s">
        <v>7</v>
      </c>
      <c r="H85" s="68" t="s">
        <v>81</v>
      </c>
      <c r="I85" s="78" t="s">
        <v>6</v>
      </c>
      <c r="J85" s="9" t="s">
        <v>7</v>
      </c>
      <c r="K85" s="68" t="s">
        <v>81</v>
      </c>
      <c r="L85" s="78" t="s">
        <v>6</v>
      </c>
      <c r="M85" s="9" t="s">
        <v>7</v>
      </c>
      <c r="N85" s="68" t="s">
        <v>81</v>
      </c>
      <c r="O85" s="78" t="s">
        <v>6</v>
      </c>
      <c r="P85" s="9" t="s">
        <v>7</v>
      </c>
      <c r="Q85" s="68" t="s">
        <v>81</v>
      </c>
      <c r="R85" s="78" t="s">
        <v>6</v>
      </c>
      <c r="S85" s="9" t="s">
        <v>7</v>
      </c>
      <c r="T85" s="68" t="s">
        <v>81</v>
      </c>
      <c r="U85" s="67" t="s">
        <v>17</v>
      </c>
      <c r="V85" s="132" t="s">
        <v>83</v>
      </c>
      <c r="X85" s="67" t="s">
        <v>6</v>
      </c>
      <c r="Y85" s="9" t="s">
        <v>7</v>
      </c>
      <c r="Z85" s="68" t="s">
        <v>81</v>
      </c>
      <c r="AA85" s="78" t="s">
        <v>6</v>
      </c>
      <c r="AB85" s="9" t="s">
        <v>7</v>
      </c>
      <c r="AC85" s="68" t="s">
        <v>81</v>
      </c>
      <c r="AD85" s="78" t="s">
        <v>6</v>
      </c>
      <c r="AE85" s="9" t="s">
        <v>7</v>
      </c>
      <c r="AF85" s="68" t="s">
        <v>81</v>
      </c>
      <c r="AG85" s="78" t="s">
        <v>6</v>
      </c>
      <c r="AH85" s="9" t="s">
        <v>7</v>
      </c>
      <c r="AI85" s="68" t="s">
        <v>81</v>
      </c>
      <c r="AJ85" s="78" t="s">
        <v>6</v>
      </c>
      <c r="AK85" s="9" t="s">
        <v>7</v>
      </c>
      <c r="AL85" s="68" t="s">
        <v>81</v>
      </c>
      <c r="AM85" s="78" t="s">
        <v>17</v>
      </c>
      <c r="AN85" s="132" t="s">
        <v>83</v>
      </c>
    </row>
    <row r="86" spans="2:40" outlineLevel="1" x14ac:dyDescent="0.25">
      <c r="B86" s="281" t="s">
        <v>283</v>
      </c>
      <c r="C86" s="64" t="s">
        <v>22</v>
      </c>
      <c r="D86" s="71">
        <v>0</v>
      </c>
      <c r="E86" s="71">
        <v>0</v>
      </c>
      <c r="F86" s="71">
        <v>0</v>
      </c>
      <c r="G86" s="167">
        <f t="shared" ref="G86:G94" si="298">E86+F86</f>
        <v>0</v>
      </c>
      <c r="H86" s="223">
        <f t="shared" ref="H86:H100" si="299">IFERROR((G86-E86)/E86,0)</f>
        <v>0</v>
      </c>
      <c r="I86" s="71">
        <v>0</v>
      </c>
      <c r="J86" s="167">
        <f>G86+I86</f>
        <v>0</v>
      </c>
      <c r="K86" s="203">
        <f>IFERROR((J86-G86)/G86,0)</f>
        <v>0</v>
      </c>
      <c r="L86" s="71">
        <v>0</v>
      </c>
      <c r="M86" s="167">
        <f>J86+L86</f>
        <v>0</v>
      </c>
      <c r="N86" s="223">
        <f>IFERROR((M86-J86)/J86,0)</f>
        <v>0</v>
      </c>
      <c r="O86" s="71">
        <v>4</v>
      </c>
      <c r="P86" s="161"/>
      <c r="Q86" s="161"/>
      <c r="R86" s="71">
        <v>4</v>
      </c>
      <c r="S86" s="167">
        <f>M86+R86</f>
        <v>4</v>
      </c>
      <c r="T86" s="203">
        <f>IFERROR((S86-M86)/M86,0)</f>
        <v>0</v>
      </c>
      <c r="U86" s="213">
        <f t="shared" ref="U86:U94" si="300">D86+F86+I86+L86+R86</f>
        <v>4</v>
      </c>
      <c r="V86" s="199">
        <f t="shared" ref="V86:V100" si="301">IFERROR((S86/E86)^(1/4)-1,0)</f>
        <v>0</v>
      </c>
      <c r="X86" s="71">
        <f>'Ανάλυση για νέους πελάτες'!D53</f>
        <v>29</v>
      </c>
      <c r="Y86" s="167">
        <f t="shared" ref="Y86:Y94" si="302">S86+X86</f>
        <v>33</v>
      </c>
      <c r="Z86" s="203">
        <f t="shared" ref="Z86:Z100" si="303">IFERROR((Y86-S86)/S86,0)</f>
        <v>7.25</v>
      </c>
      <c r="AA86" s="70">
        <f>'Ανάλυση για νέους πελάτες'!E53</f>
        <v>23</v>
      </c>
      <c r="AB86" s="167">
        <f>Y86+AA86</f>
        <v>56</v>
      </c>
      <c r="AC86" s="223">
        <f>IFERROR((AB86-Y86)/Y86,0)</f>
        <v>0.69696969696969702</v>
      </c>
      <c r="AD86" s="71">
        <f>'Ανάλυση για νέους πελάτες'!F53</f>
        <v>0</v>
      </c>
      <c r="AE86" s="167">
        <f>AB86+AD86</f>
        <v>56</v>
      </c>
      <c r="AF86" s="203">
        <f>IFERROR((AE86-AB86)/AB86,0)</f>
        <v>0</v>
      </c>
      <c r="AG86" s="70">
        <f>'Ανάλυση για νέους πελάτες'!G53</f>
        <v>0</v>
      </c>
      <c r="AH86" s="167">
        <f>AE86+AG86</f>
        <v>56</v>
      </c>
      <c r="AI86" s="223">
        <f>IFERROR((AH86-AE86)/AE86,0)</f>
        <v>0</v>
      </c>
      <c r="AJ86" s="71">
        <f>'Ανάλυση για νέους πελάτες'!H53</f>
        <v>0</v>
      </c>
      <c r="AK86" s="167">
        <f>AH86+AJ86</f>
        <v>56</v>
      </c>
      <c r="AL86" s="203">
        <f>IFERROR((AK86-AH86)/AH86,0)</f>
        <v>0</v>
      </c>
      <c r="AM86" s="198">
        <f>X86+AA86+AD86+AG86+AJ86</f>
        <v>52</v>
      </c>
      <c r="AN86" s="199">
        <f>IFERROR((AK86/Y86)^(1/4)-1,0)</f>
        <v>0.14134915541119986</v>
      </c>
    </row>
    <row r="87" spans="2:40" outlineLevel="1" x14ac:dyDescent="0.25">
      <c r="B87" s="52" t="s">
        <v>284</v>
      </c>
      <c r="C87" s="64" t="s">
        <v>22</v>
      </c>
      <c r="D87" s="71">
        <v>0</v>
      </c>
      <c r="E87" s="71">
        <v>0</v>
      </c>
      <c r="F87" s="71">
        <v>0</v>
      </c>
      <c r="G87" s="167">
        <f t="shared" si="298"/>
        <v>0</v>
      </c>
      <c r="H87" s="223">
        <f t="shared" si="299"/>
        <v>0</v>
      </c>
      <c r="I87" s="71">
        <v>0</v>
      </c>
      <c r="J87" s="167">
        <f t="shared" ref="J87:J94" si="304">G87+I87</f>
        <v>0</v>
      </c>
      <c r="K87" s="203">
        <f t="shared" ref="K87:K100" si="305">IFERROR((J87-G87)/G87,0)</f>
        <v>0</v>
      </c>
      <c r="L87" s="71">
        <v>0</v>
      </c>
      <c r="M87" s="167">
        <f t="shared" ref="M87:M94" si="306">J87+L87</f>
        <v>0</v>
      </c>
      <c r="N87" s="223">
        <f t="shared" ref="N87:N100" si="307">IFERROR((M87-J87)/J87,0)</f>
        <v>0</v>
      </c>
      <c r="O87" s="71"/>
      <c r="P87" s="161"/>
      <c r="Q87" s="161"/>
      <c r="R87" s="71"/>
      <c r="S87" s="167">
        <f t="shared" ref="S87:S94" si="308">M87+R87</f>
        <v>0</v>
      </c>
      <c r="T87" s="203">
        <f t="shared" ref="T87:T100" si="309">IFERROR((S87-M87)/M87,0)</f>
        <v>0</v>
      </c>
      <c r="U87" s="213">
        <f t="shared" si="300"/>
        <v>0</v>
      </c>
      <c r="V87" s="199">
        <f t="shared" si="301"/>
        <v>0</v>
      </c>
      <c r="X87" s="71">
        <f>'Ανάλυση για νέους πελάτες'!D54</f>
        <v>46</v>
      </c>
      <c r="Y87" s="167">
        <f t="shared" si="302"/>
        <v>46</v>
      </c>
      <c r="Z87" s="203">
        <f t="shared" si="303"/>
        <v>0</v>
      </c>
      <c r="AA87" s="70">
        <f>'Ανάλυση για νέους πελάτες'!E54</f>
        <v>26</v>
      </c>
      <c r="AB87" s="167">
        <f t="shared" ref="AB87:AB94" si="310">Y87+AA87</f>
        <v>72</v>
      </c>
      <c r="AC87" s="223">
        <f t="shared" ref="AC87:AC100" si="311">IFERROR((AB87-Y87)/Y87,0)</f>
        <v>0.56521739130434778</v>
      </c>
      <c r="AD87" s="71">
        <f>'Ανάλυση για νέους πελάτες'!F54</f>
        <v>10</v>
      </c>
      <c r="AE87" s="167">
        <f t="shared" ref="AE87:AE94" si="312">AB87+AD87</f>
        <v>82</v>
      </c>
      <c r="AF87" s="203">
        <f t="shared" ref="AF87:AF100" si="313">IFERROR((AE87-AB87)/AB87,0)</f>
        <v>0.1388888888888889</v>
      </c>
      <c r="AG87" s="70">
        <f>'Ανάλυση για νέους πελάτες'!G54</f>
        <v>0</v>
      </c>
      <c r="AH87" s="167">
        <f t="shared" ref="AH87:AH94" si="314">AE87+AG87</f>
        <v>82</v>
      </c>
      <c r="AI87" s="223">
        <f t="shared" ref="AI87:AI100" si="315">IFERROR((AH87-AE87)/AE87,0)</f>
        <v>0</v>
      </c>
      <c r="AJ87" s="71">
        <f>'Ανάλυση για νέους πελάτες'!H54</f>
        <v>0</v>
      </c>
      <c r="AK87" s="167">
        <f t="shared" ref="AK87:AK94" si="316">AH87+AJ87</f>
        <v>82</v>
      </c>
      <c r="AL87" s="203">
        <f t="shared" ref="AL87:AL100" si="317">IFERROR((AK87-AH87)/AH87,0)</f>
        <v>0</v>
      </c>
      <c r="AM87" s="198">
        <f t="shared" ref="AM87:AM99" si="318">X87+AA87+AD87+AG87+AJ87</f>
        <v>82</v>
      </c>
      <c r="AN87" s="199">
        <f t="shared" ref="AN87:AN100" si="319">IFERROR((AK87/Y87)^(1/4)-1,0)</f>
        <v>0.15548418357975113</v>
      </c>
    </row>
    <row r="88" spans="2:40" outlineLevel="1" x14ac:dyDescent="0.25">
      <c r="B88" s="52" t="s">
        <v>285</v>
      </c>
      <c r="C88" s="64" t="s">
        <v>22</v>
      </c>
      <c r="D88" s="71">
        <v>0</v>
      </c>
      <c r="E88" s="71">
        <v>0</v>
      </c>
      <c r="F88" s="71">
        <v>0</v>
      </c>
      <c r="G88" s="167">
        <f t="shared" si="298"/>
        <v>0</v>
      </c>
      <c r="H88" s="223">
        <f t="shared" si="299"/>
        <v>0</v>
      </c>
      <c r="I88" s="71">
        <v>0</v>
      </c>
      <c r="J88" s="167">
        <f t="shared" si="304"/>
        <v>0</v>
      </c>
      <c r="K88" s="203">
        <f t="shared" si="305"/>
        <v>0</v>
      </c>
      <c r="L88" s="71">
        <v>0</v>
      </c>
      <c r="M88" s="167">
        <f t="shared" si="306"/>
        <v>0</v>
      </c>
      <c r="N88" s="223">
        <f t="shared" si="307"/>
        <v>0</v>
      </c>
      <c r="O88" s="71"/>
      <c r="P88" s="161"/>
      <c r="Q88" s="161"/>
      <c r="R88" s="71"/>
      <c r="S88" s="167">
        <f t="shared" si="308"/>
        <v>0</v>
      </c>
      <c r="T88" s="203">
        <f t="shared" si="309"/>
        <v>0</v>
      </c>
      <c r="U88" s="213">
        <f t="shared" si="300"/>
        <v>0</v>
      </c>
      <c r="V88" s="199">
        <f t="shared" si="301"/>
        <v>0</v>
      </c>
      <c r="X88" s="71">
        <f>'Ανάλυση για νέους πελάτες'!D55</f>
        <v>54</v>
      </c>
      <c r="Y88" s="167">
        <f t="shared" si="302"/>
        <v>54</v>
      </c>
      <c r="Z88" s="203">
        <f t="shared" si="303"/>
        <v>0</v>
      </c>
      <c r="AA88" s="70">
        <f>'Ανάλυση για νέους πελάτες'!E55</f>
        <v>21</v>
      </c>
      <c r="AB88" s="167">
        <f t="shared" si="310"/>
        <v>75</v>
      </c>
      <c r="AC88" s="223">
        <f t="shared" si="311"/>
        <v>0.3888888888888889</v>
      </c>
      <c r="AD88" s="71">
        <f>'Ανάλυση για νέους πελάτες'!F55</f>
        <v>13</v>
      </c>
      <c r="AE88" s="167">
        <f t="shared" si="312"/>
        <v>88</v>
      </c>
      <c r="AF88" s="203">
        <f t="shared" si="313"/>
        <v>0.17333333333333334</v>
      </c>
      <c r="AG88" s="70">
        <f>'Ανάλυση για νέους πελάτες'!G55</f>
        <v>5</v>
      </c>
      <c r="AH88" s="167">
        <f t="shared" si="314"/>
        <v>93</v>
      </c>
      <c r="AI88" s="223">
        <f t="shared" si="315"/>
        <v>5.6818181818181816E-2</v>
      </c>
      <c r="AJ88" s="71">
        <f>'Ανάλυση για νέους πελάτες'!H55</f>
        <v>4</v>
      </c>
      <c r="AK88" s="167">
        <f t="shared" si="316"/>
        <v>97</v>
      </c>
      <c r="AL88" s="203">
        <f t="shared" si="317"/>
        <v>4.3010752688172046E-2</v>
      </c>
      <c r="AM88" s="198">
        <f t="shared" si="318"/>
        <v>97</v>
      </c>
      <c r="AN88" s="199">
        <f t="shared" si="319"/>
        <v>0.15769589567740683</v>
      </c>
    </row>
    <row r="89" spans="2:40" ht="16.5" customHeight="1" outlineLevel="1" x14ac:dyDescent="0.25">
      <c r="B89" s="52" t="s">
        <v>286</v>
      </c>
      <c r="C89" s="64" t="s">
        <v>22</v>
      </c>
      <c r="D89" s="71">
        <v>0</v>
      </c>
      <c r="E89" s="71">
        <v>0</v>
      </c>
      <c r="F89" s="71">
        <v>0</v>
      </c>
      <c r="G89" s="167">
        <f t="shared" si="298"/>
        <v>0</v>
      </c>
      <c r="H89" s="223">
        <f t="shared" si="299"/>
        <v>0</v>
      </c>
      <c r="I89" s="71">
        <v>0</v>
      </c>
      <c r="J89" s="167">
        <f t="shared" si="304"/>
        <v>0</v>
      </c>
      <c r="K89" s="203">
        <f t="shared" si="305"/>
        <v>0</v>
      </c>
      <c r="L89" s="71">
        <v>0</v>
      </c>
      <c r="M89" s="167">
        <f t="shared" si="306"/>
        <v>0</v>
      </c>
      <c r="N89" s="223">
        <f t="shared" si="307"/>
        <v>0</v>
      </c>
      <c r="O89" s="71"/>
      <c r="P89" s="161"/>
      <c r="Q89" s="161"/>
      <c r="R89" s="71"/>
      <c r="S89" s="167">
        <f t="shared" si="308"/>
        <v>0</v>
      </c>
      <c r="T89" s="203">
        <f t="shared" si="309"/>
        <v>0</v>
      </c>
      <c r="U89" s="213">
        <f t="shared" si="300"/>
        <v>0</v>
      </c>
      <c r="V89" s="199">
        <f t="shared" si="301"/>
        <v>0</v>
      </c>
      <c r="X89" s="71">
        <f>'Ανάλυση για νέους πελάτες'!D56</f>
        <v>35</v>
      </c>
      <c r="Y89" s="167">
        <f t="shared" si="302"/>
        <v>35</v>
      </c>
      <c r="Z89" s="203">
        <f t="shared" si="303"/>
        <v>0</v>
      </c>
      <c r="AA89" s="70">
        <f>'Ανάλυση για νέους πελάτες'!E56</f>
        <v>68</v>
      </c>
      <c r="AB89" s="167">
        <f t="shared" si="310"/>
        <v>103</v>
      </c>
      <c r="AC89" s="223">
        <f t="shared" si="311"/>
        <v>1.9428571428571428</v>
      </c>
      <c r="AD89" s="71">
        <f>'Ανάλυση για νέους πελάτες'!F56</f>
        <v>4</v>
      </c>
      <c r="AE89" s="167">
        <f t="shared" si="312"/>
        <v>107</v>
      </c>
      <c r="AF89" s="203">
        <f t="shared" si="313"/>
        <v>3.8834951456310676E-2</v>
      </c>
      <c r="AG89" s="70">
        <f>'Ανάλυση για νέους πελάτες'!G56</f>
        <v>20</v>
      </c>
      <c r="AH89" s="167">
        <f t="shared" si="314"/>
        <v>127</v>
      </c>
      <c r="AI89" s="223">
        <f t="shared" si="315"/>
        <v>0.18691588785046728</v>
      </c>
      <c r="AJ89" s="71">
        <f>'Ανάλυση για νέους πελάτες'!H56</f>
        <v>10</v>
      </c>
      <c r="AK89" s="167">
        <f t="shared" si="316"/>
        <v>137</v>
      </c>
      <c r="AL89" s="203">
        <f t="shared" si="317"/>
        <v>7.874015748031496E-2</v>
      </c>
      <c r="AM89" s="198">
        <f t="shared" si="318"/>
        <v>137</v>
      </c>
      <c r="AN89" s="199">
        <f t="shared" si="319"/>
        <v>0.40657576616868951</v>
      </c>
    </row>
    <row r="90" spans="2:40" ht="16.5" customHeight="1" outlineLevel="1" x14ac:dyDescent="0.25">
      <c r="B90" s="52" t="s">
        <v>287</v>
      </c>
      <c r="C90" s="64" t="s">
        <v>22</v>
      </c>
      <c r="D90" s="71">
        <v>0</v>
      </c>
      <c r="E90" s="71">
        <v>0</v>
      </c>
      <c r="F90" s="71">
        <v>0</v>
      </c>
      <c r="G90" s="167">
        <f t="shared" si="298"/>
        <v>0</v>
      </c>
      <c r="H90" s="223">
        <f t="shared" si="299"/>
        <v>0</v>
      </c>
      <c r="I90" s="71">
        <v>0</v>
      </c>
      <c r="J90" s="167">
        <f t="shared" si="304"/>
        <v>0</v>
      </c>
      <c r="K90" s="203">
        <f t="shared" si="305"/>
        <v>0</v>
      </c>
      <c r="L90" s="71">
        <v>0</v>
      </c>
      <c r="M90" s="167">
        <f t="shared" si="306"/>
        <v>0</v>
      </c>
      <c r="N90" s="223">
        <f t="shared" si="307"/>
        <v>0</v>
      </c>
      <c r="O90" s="71"/>
      <c r="P90" s="161"/>
      <c r="Q90" s="161"/>
      <c r="R90" s="71"/>
      <c r="S90" s="167">
        <f t="shared" si="308"/>
        <v>0</v>
      </c>
      <c r="T90" s="203">
        <f t="shared" si="309"/>
        <v>0</v>
      </c>
      <c r="U90" s="213">
        <f t="shared" si="300"/>
        <v>0</v>
      </c>
      <c r="V90" s="199">
        <f t="shared" si="301"/>
        <v>0</v>
      </c>
      <c r="X90" s="71">
        <f>'Ανάλυση για νέους πελάτες'!D57</f>
        <v>0</v>
      </c>
      <c r="Y90" s="167">
        <f t="shared" si="302"/>
        <v>0</v>
      </c>
      <c r="Z90" s="203">
        <f t="shared" si="303"/>
        <v>0</v>
      </c>
      <c r="AA90" s="70">
        <f>'Ανάλυση για νέους πελάτες'!E57</f>
        <v>184</v>
      </c>
      <c r="AB90" s="167">
        <f t="shared" si="310"/>
        <v>184</v>
      </c>
      <c r="AC90" s="223">
        <f t="shared" si="311"/>
        <v>0</v>
      </c>
      <c r="AD90" s="71">
        <f>'Ανάλυση για νέους πελάτες'!F57</f>
        <v>57</v>
      </c>
      <c r="AE90" s="167">
        <f t="shared" si="312"/>
        <v>241</v>
      </c>
      <c r="AF90" s="203">
        <f t="shared" si="313"/>
        <v>0.30978260869565216</v>
      </c>
      <c r="AG90" s="70">
        <f>'Ανάλυση για νέους πελάτες'!G57</f>
        <v>10</v>
      </c>
      <c r="AH90" s="167">
        <f t="shared" si="314"/>
        <v>251</v>
      </c>
      <c r="AI90" s="223">
        <f t="shared" si="315"/>
        <v>4.1493775933609957E-2</v>
      </c>
      <c r="AJ90" s="71">
        <f>'Ανάλυση για νέους πελάτες'!H57</f>
        <v>6</v>
      </c>
      <c r="AK90" s="167">
        <f t="shared" si="316"/>
        <v>257</v>
      </c>
      <c r="AL90" s="203">
        <f t="shared" si="317"/>
        <v>2.3904382470119521E-2</v>
      </c>
      <c r="AM90" s="198">
        <f t="shared" si="318"/>
        <v>257</v>
      </c>
      <c r="AN90" s="199">
        <f t="shared" si="319"/>
        <v>0</v>
      </c>
    </row>
    <row r="91" spans="2:40" ht="16.5" customHeight="1" outlineLevel="1" x14ac:dyDescent="0.25">
      <c r="B91" s="52" t="s">
        <v>288</v>
      </c>
      <c r="C91" s="64" t="s">
        <v>22</v>
      </c>
      <c r="D91" s="71">
        <v>0</v>
      </c>
      <c r="E91" s="71">
        <v>0</v>
      </c>
      <c r="F91" s="71">
        <v>0</v>
      </c>
      <c r="G91" s="167">
        <f t="shared" si="298"/>
        <v>0</v>
      </c>
      <c r="H91" s="223">
        <f t="shared" si="299"/>
        <v>0</v>
      </c>
      <c r="I91" s="71">
        <v>0</v>
      </c>
      <c r="J91" s="167">
        <f t="shared" si="304"/>
        <v>0</v>
      </c>
      <c r="K91" s="203">
        <f t="shared" si="305"/>
        <v>0</v>
      </c>
      <c r="L91" s="71">
        <v>0</v>
      </c>
      <c r="M91" s="167">
        <f t="shared" si="306"/>
        <v>0</v>
      </c>
      <c r="N91" s="223">
        <f t="shared" si="307"/>
        <v>0</v>
      </c>
      <c r="O91" s="71"/>
      <c r="P91" s="161"/>
      <c r="Q91" s="161"/>
      <c r="R91" s="71"/>
      <c r="S91" s="167">
        <f t="shared" si="308"/>
        <v>0</v>
      </c>
      <c r="T91" s="203">
        <f t="shared" si="309"/>
        <v>0</v>
      </c>
      <c r="U91" s="213">
        <f t="shared" si="300"/>
        <v>0</v>
      </c>
      <c r="V91" s="199">
        <f t="shared" si="301"/>
        <v>0</v>
      </c>
      <c r="X91" s="71">
        <f>'Ανάλυση για νέους πελάτες'!D58</f>
        <v>72</v>
      </c>
      <c r="Y91" s="167">
        <f t="shared" si="302"/>
        <v>72</v>
      </c>
      <c r="Z91" s="203">
        <f t="shared" si="303"/>
        <v>0</v>
      </c>
      <c r="AA91" s="70">
        <f>'Ανάλυση για νέους πελάτες'!E58</f>
        <v>7</v>
      </c>
      <c r="AB91" s="167">
        <f t="shared" si="310"/>
        <v>79</v>
      </c>
      <c r="AC91" s="223">
        <f t="shared" si="311"/>
        <v>9.7222222222222224E-2</v>
      </c>
      <c r="AD91" s="71">
        <f>'Ανάλυση για νέους πελάτες'!F58</f>
        <v>11</v>
      </c>
      <c r="AE91" s="167">
        <f t="shared" si="312"/>
        <v>90</v>
      </c>
      <c r="AF91" s="203">
        <f t="shared" si="313"/>
        <v>0.13924050632911392</v>
      </c>
      <c r="AG91" s="70">
        <f>'Ανάλυση για νέους πελάτες'!G58</f>
        <v>3</v>
      </c>
      <c r="AH91" s="167">
        <f t="shared" si="314"/>
        <v>93</v>
      </c>
      <c r="AI91" s="223">
        <f t="shared" si="315"/>
        <v>3.3333333333333333E-2</v>
      </c>
      <c r="AJ91" s="71">
        <f>'Ανάλυση για νέους πελάτες'!H58</f>
        <v>2</v>
      </c>
      <c r="AK91" s="167">
        <f t="shared" si="316"/>
        <v>95</v>
      </c>
      <c r="AL91" s="203">
        <f t="shared" si="317"/>
        <v>2.1505376344086023E-2</v>
      </c>
      <c r="AM91" s="198">
        <f t="shared" si="318"/>
        <v>95</v>
      </c>
      <c r="AN91" s="199">
        <f t="shared" si="319"/>
        <v>7.1760574634489815E-2</v>
      </c>
    </row>
    <row r="92" spans="2:40" ht="16.5" customHeight="1" outlineLevel="1" x14ac:dyDescent="0.25">
      <c r="B92" s="52" t="s">
        <v>289</v>
      </c>
      <c r="C92" s="64" t="s">
        <v>22</v>
      </c>
      <c r="D92" s="71">
        <v>0</v>
      </c>
      <c r="E92" s="71">
        <v>0</v>
      </c>
      <c r="F92" s="71">
        <v>0</v>
      </c>
      <c r="G92" s="167">
        <f t="shared" si="298"/>
        <v>0</v>
      </c>
      <c r="H92" s="223">
        <f t="shared" si="299"/>
        <v>0</v>
      </c>
      <c r="I92" s="71">
        <v>0</v>
      </c>
      <c r="J92" s="167">
        <f t="shared" si="304"/>
        <v>0</v>
      </c>
      <c r="K92" s="203">
        <f t="shared" si="305"/>
        <v>0</v>
      </c>
      <c r="L92" s="71">
        <v>0</v>
      </c>
      <c r="M92" s="167">
        <f t="shared" si="306"/>
        <v>0</v>
      </c>
      <c r="N92" s="223">
        <f t="shared" si="307"/>
        <v>0</v>
      </c>
      <c r="O92" s="71"/>
      <c r="P92" s="161"/>
      <c r="Q92" s="161"/>
      <c r="R92" s="71"/>
      <c r="S92" s="167">
        <f t="shared" si="308"/>
        <v>0</v>
      </c>
      <c r="T92" s="203">
        <f t="shared" si="309"/>
        <v>0</v>
      </c>
      <c r="U92" s="213">
        <f t="shared" si="300"/>
        <v>0</v>
      </c>
      <c r="V92" s="199">
        <f t="shared" si="301"/>
        <v>0</v>
      </c>
      <c r="X92" s="71">
        <f>'Ανάλυση για νέους πελάτες'!D59</f>
        <v>260</v>
      </c>
      <c r="Y92" s="167">
        <f t="shared" si="302"/>
        <v>260</v>
      </c>
      <c r="Z92" s="203">
        <f t="shared" si="303"/>
        <v>0</v>
      </c>
      <c r="AA92" s="70">
        <f>'Ανάλυση για νέους πελάτες'!E59</f>
        <v>218</v>
      </c>
      <c r="AB92" s="167">
        <f t="shared" si="310"/>
        <v>478</v>
      </c>
      <c r="AC92" s="223">
        <f t="shared" si="311"/>
        <v>0.83846153846153848</v>
      </c>
      <c r="AD92" s="71">
        <f>'Ανάλυση για νέους πελάτες'!F59</f>
        <v>47</v>
      </c>
      <c r="AE92" s="167">
        <f t="shared" si="312"/>
        <v>525</v>
      </c>
      <c r="AF92" s="203">
        <f t="shared" si="313"/>
        <v>9.832635983263599E-2</v>
      </c>
      <c r="AG92" s="70">
        <f>'Ανάλυση για νέους πελάτες'!G59</f>
        <v>20</v>
      </c>
      <c r="AH92" s="167">
        <f t="shared" si="314"/>
        <v>545</v>
      </c>
      <c r="AI92" s="223">
        <f t="shared" si="315"/>
        <v>3.8095238095238099E-2</v>
      </c>
      <c r="AJ92" s="71">
        <f>'Ανάλυση για νέους πελάτες'!H59</f>
        <v>10</v>
      </c>
      <c r="AK92" s="167">
        <f t="shared" si="316"/>
        <v>555</v>
      </c>
      <c r="AL92" s="203">
        <f t="shared" si="317"/>
        <v>1.834862385321101E-2</v>
      </c>
      <c r="AM92" s="198">
        <f t="shared" si="318"/>
        <v>555</v>
      </c>
      <c r="AN92" s="199">
        <f t="shared" si="319"/>
        <v>0.20873169107834744</v>
      </c>
    </row>
    <row r="93" spans="2:40" ht="16.5" customHeight="1" outlineLevel="1" x14ac:dyDescent="0.25">
      <c r="B93" s="52" t="s">
        <v>290</v>
      </c>
      <c r="C93" s="64" t="s">
        <v>22</v>
      </c>
      <c r="D93" s="71">
        <v>0</v>
      </c>
      <c r="E93" s="71">
        <v>0</v>
      </c>
      <c r="F93" s="71">
        <v>0</v>
      </c>
      <c r="G93" s="167">
        <f t="shared" si="298"/>
        <v>0</v>
      </c>
      <c r="H93" s="223">
        <f t="shared" si="299"/>
        <v>0</v>
      </c>
      <c r="I93" s="71">
        <v>0</v>
      </c>
      <c r="J93" s="167">
        <f t="shared" si="304"/>
        <v>0</v>
      </c>
      <c r="K93" s="203">
        <f t="shared" si="305"/>
        <v>0</v>
      </c>
      <c r="L93" s="71">
        <v>0</v>
      </c>
      <c r="M93" s="167">
        <f t="shared" si="306"/>
        <v>0</v>
      </c>
      <c r="N93" s="223">
        <f t="shared" si="307"/>
        <v>0</v>
      </c>
      <c r="O93" s="71"/>
      <c r="P93" s="161"/>
      <c r="Q93" s="161"/>
      <c r="R93" s="71"/>
      <c r="S93" s="167">
        <f t="shared" si="308"/>
        <v>0</v>
      </c>
      <c r="T93" s="203">
        <f t="shared" si="309"/>
        <v>0</v>
      </c>
      <c r="U93" s="213">
        <f t="shared" si="300"/>
        <v>0</v>
      </c>
      <c r="V93" s="199">
        <f t="shared" si="301"/>
        <v>0</v>
      </c>
      <c r="X93" s="71">
        <f>'Ανάλυση για νέους πελάτες'!D60</f>
        <v>114</v>
      </c>
      <c r="Y93" s="167">
        <f t="shared" si="302"/>
        <v>114</v>
      </c>
      <c r="Z93" s="203">
        <f t="shared" si="303"/>
        <v>0</v>
      </c>
      <c r="AA93" s="70">
        <f>'Ανάλυση για νέους πελάτες'!E60</f>
        <v>105</v>
      </c>
      <c r="AB93" s="167">
        <f t="shared" si="310"/>
        <v>219</v>
      </c>
      <c r="AC93" s="223">
        <f t="shared" si="311"/>
        <v>0.92105263157894735</v>
      </c>
      <c r="AD93" s="71">
        <f>'Ανάλυση για νέους πελάτες'!F60</f>
        <v>40</v>
      </c>
      <c r="AE93" s="167">
        <f t="shared" si="312"/>
        <v>259</v>
      </c>
      <c r="AF93" s="203">
        <f t="shared" si="313"/>
        <v>0.18264840182648401</v>
      </c>
      <c r="AG93" s="70">
        <f>'Ανάλυση για νέους πελάτες'!G60</f>
        <v>20</v>
      </c>
      <c r="AH93" s="167">
        <f t="shared" si="314"/>
        <v>279</v>
      </c>
      <c r="AI93" s="223">
        <f t="shared" si="315"/>
        <v>7.7220077220077218E-2</v>
      </c>
      <c r="AJ93" s="71">
        <f>'Ανάλυση για νέους πελάτες'!H60</f>
        <v>10</v>
      </c>
      <c r="AK93" s="167">
        <f t="shared" si="316"/>
        <v>289</v>
      </c>
      <c r="AL93" s="203">
        <f t="shared" si="317"/>
        <v>3.5842293906810034E-2</v>
      </c>
      <c r="AM93" s="198">
        <f t="shared" si="318"/>
        <v>289</v>
      </c>
      <c r="AN93" s="199">
        <f t="shared" si="319"/>
        <v>0.26182244380454733</v>
      </c>
    </row>
    <row r="94" spans="2:40" ht="16.5" customHeight="1" outlineLevel="1" x14ac:dyDescent="0.25">
      <c r="B94" s="52" t="s">
        <v>291</v>
      </c>
      <c r="C94" s="64" t="s">
        <v>22</v>
      </c>
      <c r="D94" s="71">
        <v>0</v>
      </c>
      <c r="E94" s="71">
        <v>0</v>
      </c>
      <c r="F94" s="71">
        <v>0</v>
      </c>
      <c r="G94" s="167">
        <f t="shared" si="298"/>
        <v>0</v>
      </c>
      <c r="H94" s="223">
        <f t="shared" si="299"/>
        <v>0</v>
      </c>
      <c r="I94" s="71">
        <v>0</v>
      </c>
      <c r="J94" s="167">
        <f t="shared" si="304"/>
        <v>0</v>
      </c>
      <c r="K94" s="203">
        <f t="shared" si="305"/>
        <v>0</v>
      </c>
      <c r="L94" s="71">
        <v>0</v>
      </c>
      <c r="M94" s="167">
        <f t="shared" si="306"/>
        <v>0</v>
      </c>
      <c r="N94" s="223">
        <f t="shared" si="307"/>
        <v>0</v>
      </c>
      <c r="O94" s="71"/>
      <c r="P94" s="161"/>
      <c r="Q94" s="161"/>
      <c r="R94" s="71">
        <v>55</v>
      </c>
      <c r="S94" s="167">
        <f t="shared" si="308"/>
        <v>55</v>
      </c>
      <c r="T94" s="203">
        <f t="shared" si="309"/>
        <v>0</v>
      </c>
      <c r="U94" s="213">
        <f t="shared" si="300"/>
        <v>55</v>
      </c>
      <c r="V94" s="199">
        <f t="shared" si="301"/>
        <v>0</v>
      </c>
      <c r="X94" s="71">
        <f>'Ανάλυση για νέους πελάτες'!D61</f>
        <v>112</v>
      </c>
      <c r="Y94" s="167">
        <f t="shared" si="302"/>
        <v>167</v>
      </c>
      <c r="Z94" s="203">
        <f t="shared" si="303"/>
        <v>2.0363636363636362</v>
      </c>
      <c r="AA94" s="70">
        <f>'Ανάλυση για νέους πελάτες'!E61</f>
        <v>22</v>
      </c>
      <c r="AB94" s="167">
        <f t="shared" si="310"/>
        <v>189</v>
      </c>
      <c r="AC94" s="223">
        <f t="shared" si="311"/>
        <v>0.1317365269461078</v>
      </c>
      <c r="AD94" s="71">
        <f>'Ανάλυση για νέους πελάτες'!F61</f>
        <v>4</v>
      </c>
      <c r="AE94" s="167">
        <f t="shared" si="312"/>
        <v>193</v>
      </c>
      <c r="AF94" s="203">
        <f t="shared" si="313"/>
        <v>2.1164021164021163E-2</v>
      </c>
      <c r="AG94" s="70">
        <f>'Ανάλυση για νέους πελάτες'!G61</f>
        <v>5</v>
      </c>
      <c r="AH94" s="167">
        <f t="shared" si="314"/>
        <v>198</v>
      </c>
      <c r="AI94" s="223">
        <f t="shared" si="315"/>
        <v>2.5906735751295335E-2</v>
      </c>
      <c r="AJ94" s="71">
        <f>'Ανάλυση για νέους πελάτες'!H61</f>
        <v>3</v>
      </c>
      <c r="AK94" s="167">
        <f t="shared" si="316"/>
        <v>201</v>
      </c>
      <c r="AL94" s="203">
        <f t="shared" si="317"/>
        <v>1.5151515151515152E-2</v>
      </c>
      <c r="AM94" s="198">
        <f t="shared" si="318"/>
        <v>146</v>
      </c>
      <c r="AN94" s="199">
        <f t="shared" si="319"/>
        <v>4.7417670884036145E-2</v>
      </c>
    </row>
    <row r="95" spans="2:40" ht="16.5" customHeight="1" outlineLevel="1" x14ac:dyDescent="0.25">
      <c r="B95" s="52" t="s">
        <v>307</v>
      </c>
      <c r="C95" s="64"/>
      <c r="D95" s="71"/>
      <c r="E95" s="71"/>
      <c r="F95" s="71"/>
      <c r="G95" s="167"/>
      <c r="H95" s="223">
        <f t="shared" si="299"/>
        <v>0</v>
      </c>
      <c r="I95" s="71"/>
      <c r="J95" s="167"/>
      <c r="K95" s="203">
        <f t="shared" si="305"/>
        <v>0</v>
      </c>
      <c r="L95" s="71"/>
      <c r="M95" s="167"/>
      <c r="N95" s="223">
        <f t="shared" si="307"/>
        <v>0</v>
      </c>
      <c r="O95" s="71"/>
      <c r="P95" s="161"/>
      <c r="Q95" s="161"/>
      <c r="R95" s="71"/>
      <c r="S95" s="167"/>
      <c r="T95" s="203">
        <f t="shared" si="309"/>
        <v>0</v>
      </c>
      <c r="U95" s="213"/>
      <c r="V95" s="199">
        <f t="shared" si="301"/>
        <v>0</v>
      </c>
      <c r="X95" s="71">
        <f>'Ανάλυση για νέους πελάτες'!D62</f>
        <v>6</v>
      </c>
      <c r="Y95" s="167">
        <f t="shared" ref="Y95:Y99" si="320">S95+X95</f>
        <v>6</v>
      </c>
      <c r="Z95" s="203">
        <f t="shared" si="303"/>
        <v>0</v>
      </c>
      <c r="AA95" s="70">
        <f>'Ανάλυση για νέους πελάτες'!E62</f>
        <v>7</v>
      </c>
      <c r="AB95" s="167">
        <f t="shared" ref="AB95:AB99" si="321">Y95+AA95</f>
        <v>13</v>
      </c>
      <c r="AC95" s="223">
        <f t="shared" si="311"/>
        <v>1.1666666666666667</v>
      </c>
      <c r="AD95" s="71">
        <f>'Ανάλυση για νέους πελάτες'!F62</f>
        <v>8</v>
      </c>
      <c r="AE95" s="167">
        <f t="shared" ref="AE95:AE99" si="322">AB95+AD95</f>
        <v>21</v>
      </c>
      <c r="AF95" s="203">
        <f t="shared" si="313"/>
        <v>0.61538461538461542</v>
      </c>
      <c r="AG95" s="70">
        <f>'Ανάλυση για νέους πελάτες'!G62</f>
        <v>4</v>
      </c>
      <c r="AH95" s="167">
        <f t="shared" ref="AH95:AH99" si="323">AE95+AG95</f>
        <v>25</v>
      </c>
      <c r="AI95" s="223">
        <f t="shared" si="315"/>
        <v>0.19047619047619047</v>
      </c>
      <c r="AJ95" s="71">
        <f>'Ανάλυση για νέους πελάτες'!H62</f>
        <v>4</v>
      </c>
      <c r="AK95" s="167">
        <f t="shared" ref="AK95:AK99" si="324">AH95+AJ95</f>
        <v>29</v>
      </c>
      <c r="AL95" s="203">
        <f t="shared" si="317"/>
        <v>0.16</v>
      </c>
      <c r="AM95" s="198">
        <f t="shared" si="318"/>
        <v>29</v>
      </c>
      <c r="AN95" s="199">
        <f t="shared" si="319"/>
        <v>0.48272867591438318</v>
      </c>
    </row>
    <row r="96" spans="2:40" ht="16.5" customHeight="1" outlineLevel="1" x14ac:dyDescent="0.25">
      <c r="B96" s="52" t="s">
        <v>304</v>
      </c>
      <c r="C96" s="64"/>
      <c r="D96" s="71"/>
      <c r="E96" s="71"/>
      <c r="F96" s="71"/>
      <c r="G96" s="167"/>
      <c r="H96" s="223">
        <f t="shared" si="299"/>
        <v>0</v>
      </c>
      <c r="I96" s="71"/>
      <c r="J96" s="167"/>
      <c r="K96" s="203">
        <f t="shared" si="305"/>
        <v>0</v>
      </c>
      <c r="L96" s="71"/>
      <c r="M96" s="167"/>
      <c r="N96" s="223">
        <f t="shared" si="307"/>
        <v>0</v>
      </c>
      <c r="O96" s="71"/>
      <c r="P96" s="161"/>
      <c r="Q96" s="161"/>
      <c r="R96" s="71"/>
      <c r="S96" s="167"/>
      <c r="T96" s="203">
        <f t="shared" si="309"/>
        <v>0</v>
      </c>
      <c r="U96" s="213"/>
      <c r="V96" s="199">
        <f t="shared" si="301"/>
        <v>0</v>
      </c>
      <c r="X96" s="71">
        <f>'Ανάλυση για νέους πελάτες'!D63</f>
        <v>10</v>
      </c>
      <c r="Y96" s="167">
        <f t="shared" si="320"/>
        <v>10</v>
      </c>
      <c r="Z96" s="203">
        <f t="shared" si="303"/>
        <v>0</v>
      </c>
      <c r="AA96" s="70">
        <f>'Ανάλυση για νέους πελάτες'!E63</f>
        <v>7</v>
      </c>
      <c r="AB96" s="167">
        <f t="shared" si="321"/>
        <v>17</v>
      </c>
      <c r="AC96" s="223">
        <f t="shared" si="311"/>
        <v>0.7</v>
      </c>
      <c r="AD96" s="71">
        <f>'Ανάλυση για νέους πελάτες'!F63</f>
        <v>8</v>
      </c>
      <c r="AE96" s="167">
        <f t="shared" si="322"/>
        <v>25</v>
      </c>
      <c r="AF96" s="203">
        <f t="shared" si="313"/>
        <v>0.47058823529411764</v>
      </c>
      <c r="AG96" s="70">
        <f>'Ανάλυση για νέους πελάτες'!G63</f>
        <v>4</v>
      </c>
      <c r="AH96" s="167">
        <f t="shared" si="323"/>
        <v>29</v>
      </c>
      <c r="AI96" s="223">
        <f t="shared" si="315"/>
        <v>0.16</v>
      </c>
      <c r="AJ96" s="71">
        <f>'Ανάλυση για νέους πελάτες'!H63</f>
        <v>4</v>
      </c>
      <c r="AK96" s="167">
        <f t="shared" si="324"/>
        <v>33</v>
      </c>
      <c r="AL96" s="203">
        <f t="shared" si="317"/>
        <v>0.13793103448275862</v>
      </c>
      <c r="AM96" s="198">
        <f t="shared" si="318"/>
        <v>33</v>
      </c>
      <c r="AN96" s="199">
        <f t="shared" si="319"/>
        <v>0.34780941251294695</v>
      </c>
    </row>
    <row r="97" spans="2:40" ht="16.5" customHeight="1" outlineLevel="1" x14ac:dyDescent="0.25">
      <c r="B97" s="52" t="s">
        <v>305</v>
      </c>
      <c r="C97" s="64"/>
      <c r="D97" s="71"/>
      <c r="E97" s="71"/>
      <c r="F97" s="71"/>
      <c r="G97" s="167"/>
      <c r="H97" s="223">
        <f t="shared" si="299"/>
        <v>0</v>
      </c>
      <c r="I97" s="71"/>
      <c r="J97" s="167"/>
      <c r="K97" s="203">
        <f t="shared" si="305"/>
        <v>0</v>
      </c>
      <c r="L97" s="71"/>
      <c r="M97" s="167"/>
      <c r="N97" s="223">
        <f t="shared" si="307"/>
        <v>0</v>
      </c>
      <c r="O97" s="71"/>
      <c r="P97" s="161"/>
      <c r="Q97" s="161"/>
      <c r="R97" s="71"/>
      <c r="S97" s="167"/>
      <c r="T97" s="203">
        <f t="shared" si="309"/>
        <v>0</v>
      </c>
      <c r="U97" s="213"/>
      <c r="V97" s="199">
        <f t="shared" si="301"/>
        <v>0</v>
      </c>
      <c r="X97" s="71">
        <f>'Ανάλυση για νέους πελάτες'!D64</f>
        <v>7</v>
      </c>
      <c r="Y97" s="167">
        <f t="shared" si="320"/>
        <v>7</v>
      </c>
      <c r="Z97" s="203">
        <f t="shared" si="303"/>
        <v>0</v>
      </c>
      <c r="AA97" s="70">
        <f>'Ανάλυση για νέους πελάτες'!E64</f>
        <v>7</v>
      </c>
      <c r="AB97" s="167">
        <f t="shared" si="321"/>
        <v>14</v>
      </c>
      <c r="AC97" s="223">
        <f t="shared" si="311"/>
        <v>1</v>
      </c>
      <c r="AD97" s="71">
        <f>'Ανάλυση για νέους πελάτες'!F64</f>
        <v>8</v>
      </c>
      <c r="AE97" s="167">
        <f t="shared" si="322"/>
        <v>22</v>
      </c>
      <c r="AF97" s="203">
        <f t="shared" si="313"/>
        <v>0.5714285714285714</v>
      </c>
      <c r="AG97" s="70">
        <f>'Ανάλυση για νέους πελάτες'!G64</f>
        <v>4</v>
      </c>
      <c r="AH97" s="167">
        <f t="shared" si="323"/>
        <v>26</v>
      </c>
      <c r="AI97" s="223">
        <f t="shared" si="315"/>
        <v>0.18181818181818182</v>
      </c>
      <c r="AJ97" s="71">
        <f>'Ανάλυση για νέους πελάτες'!H64</f>
        <v>4</v>
      </c>
      <c r="AK97" s="167">
        <f t="shared" si="324"/>
        <v>30</v>
      </c>
      <c r="AL97" s="203">
        <f t="shared" si="317"/>
        <v>0.15384615384615385</v>
      </c>
      <c r="AM97" s="198">
        <f t="shared" si="318"/>
        <v>30</v>
      </c>
      <c r="AN97" s="199">
        <f t="shared" si="319"/>
        <v>0.43881780570962592</v>
      </c>
    </row>
    <row r="98" spans="2:40" ht="16.5" customHeight="1" outlineLevel="1" x14ac:dyDescent="0.25">
      <c r="B98" s="52" t="s">
        <v>306</v>
      </c>
      <c r="C98" s="64"/>
      <c r="D98" s="71"/>
      <c r="E98" s="71"/>
      <c r="F98" s="71"/>
      <c r="G98" s="167"/>
      <c r="H98" s="223">
        <f t="shared" si="299"/>
        <v>0</v>
      </c>
      <c r="I98" s="71"/>
      <c r="J98" s="167"/>
      <c r="K98" s="203">
        <f t="shared" si="305"/>
        <v>0</v>
      </c>
      <c r="L98" s="71"/>
      <c r="M98" s="167"/>
      <c r="N98" s="223">
        <f t="shared" si="307"/>
        <v>0</v>
      </c>
      <c r="O98" s="71"/>
      <c r="P98" s="161"/>
      <c r="Q98" s="161"/>
      <c r="R98" s="71"/>
      <c r="S98" s="167"/>
      <c r="T98" s="203">
        <f t="shared" si="309"/>
        <v>0</v>
      </c>
      <c r="U98" s="213"/>
      <c r="V98" s="199">
        <f t="shared" si="301"/>
        <v>0</v>
      </c>
      <c r="X98" s="71">
        <f>'Ανάλυση για νέους πελάτες'!D65</f>
        <v>40</v>
      </c>
      <c r="Y98" s="167">
        <f t="shared" si="320"/>
        <v>40</v>
      </c>
      <c r="Z98" s="203">
        <f t="shared" si="303"/>
        <v>0</v>
      </c>
      <c r="AA98" s="70">
        <f>'Ανάλυση για νέους πελάτες'!E65</f>
        <v>45</v>
      </c>
      <c r="AB98" s="167">
        <f t="shared" si="321"/>
        <v>85</v>
      </c>
      <c r="AC98" s="223">
        <f t="shared" si="311"/>
        <v>1.125</v>
      </c>
      <c r="AD98" s="71">
        <f>'Ανάλυση για νέους πελάτες'!F65</f>
        <v>36</v>
      </c>
      <c r="AE98" s="167">
        <f t="shared" si="322"/>
        <v>121</v>
      </c>
      <c r="AF98" s="203">
        <f t="shared" si="313"/>
        <v>0.42352941176470588</v>
      </c>
      <c r="AG98" s="70">
        <f>'Ανάλυση για νέους πελάτες'!G65</f>
        <v>20</v>
      </c>
      <c r="AH98" s="167">
        <f t="shared" si="323"/>
        <v>141</v>
      </c>
      <c r="AI98" s="223">
        <f t="shared" si="315"/>
        <v>0.16528925619834711</v>
      </c>
      <c r="AJ98" s="71">
        <f>'Ανάλυση για νέους πελάτες'!H65</f>
        <v>10</v>
      </c>
      <c r="AK98" s="167">
        <f t="shared" si="324"/>
        <v>151</v>
      </c>
      <c r="AL98" s="203">
        <f t="shared" si="317"/>
        <v>7.0921985815602842E-2</v>
      </c>
      <c r="AM98" s="198">
        <f t="shared" si="318"/>
        <v>151</v>
      </c>
      <c r="AN98" s="199">
        <f t="shared" si="319"/>
        <v>0.39389236412735418</v>
      </c>
    </row>
    <row r="99" spans="2:40" ht="16.5" customHeight="1" outlineLevel="1" x14ac:dyDescent="0.25">
      <c r="B99" s="52" t="s">
        <v>308</v>
      </c>
      <c r="C99" s="64"/>
      <c r="D99" s="71"/>
      <c r="E99" s="71"/>
      <c r="F99" s="71"/>
      <c r="G99" s="167"/>
      <c r="H99" s="223">
        <f t="shared" si="299"/>
        <v>0</v>
      </c>
      <c r="I99" s="71"/>
      <c r="J99" s="167"/>
      <c r="K99" s="203">
        <f t="shared" si="305"/>
        <v>0</v>
      </c>
      <c r="L99" s="71"/>
      <c r="M99" s="167"/>
      <c r="N99" s="223">
        <f t="shared" si="307"/>
        <v>0</v>
      </c>
      <c r="O99" s="71"/>
      <c r="P99" s="161"/>
      <c r="Q99" s="161"/>
      <c r="R99" s="71"/>
      <c r="S99" s="167"/>
      <c r="T99" s="203">
        <f t="shared" si="309"/>
        <v>0</v>
      </c>
      <c r="U99" s="213"/>
      <c r="V99" s="199">
        <f t="shared" si="301"/>
        <v>0</v>
      </c>
      <c r="X99" s="71">
        <f>'Ανάλυση για νέους πελάτες'!D66</f>
        <v>28</v>
      </c>
      <c r="Y99" s="167">
        <f t="shared" si="320"/>
        <v>28</v>
      </c>
      <c r="Z99" s="203">
        <f t="shared" si="303"/>
        <v>0</v>
      </c>
      <c r="AA99" s="70">
        <f>'Ανάλυση για νέους πελάτες'!E66</f>
        <v>49</v>
      </c>
      <c r="AB99" s="167">
        <f t="shared" si="321"/>
        <v>77</v>
      </c>
      <c r="AC99" s="223">
        <f t="shared" si="311"/>
        <v>1.75</v>
      </c>
      <c r="AD99" s="71">
        <f>'Ανάλυση για νέους πελάτες'!F66</f>
        <v>49</v>
      </c>
      <c r="AE99" s="167">
        <f t="shared" si="322"/>
        <v>126</v>
      </c>
      <c r="AF99" s="203">
        <f t="shared" si="313"/>
        <v>0.63636363636363635</v>
      </c>
      <c r="AG99" s="70">
        <f>'Ανάλυση για νέους πελάτες'!G66</f>
        <v>35</v>
      </c>
      <c r="AH99" s="167">
        <f t="shared" si="323"/>
        <v>161</v>
      </c>
      <c r="AI99" s="223">
        <f t="shared" si="315"/>
        <v>0.27777777777777779</v>
      </c>
      <c r="AJ99" s="71">
        <f>'Ανάλυση για νέους πελάτες'!H66</f>
        <v>10</v>
      </c>
      <c r="AK99" s="167">
        <f t="shared" si="324"/>
        <v>171</v>
      </c>
      <c r="AL99" s="203">
        <f t="shared" si="317"/>
        <v>6.2111801242236024E-2</v>
      </c>
      <c r="AM99" s="198">
        <f t="shared" si="318"/>
        <v>171</v>
      </c>
      <c r="AN99" s="199">
        <f t="shared" si="319"/>
        <v>0.57202525843058316</v>
      </c>
    </row>
    <row r="100" spans="2:40" ht="16.5" customHeight="1" outlineLevel="1" x14ac:dyDescent="0.25">
      <c r="B100" s="52"/>
      <c r="C100" s="64"/>
      <c r="D100" s="71"/>
      <c r="E100" s="71"/>
      <c r="F100" s="71"/>
      <c r="G100" s="167"/>
      <c r="H100" s="223">
        <f t="shared" si="299"/>
        <v>0</v>
      </c>
      <c r="I100" s="71"/>
      <c r="J100" s="167"/>
      <c r="K100" s="203">
        <f t="shared" si="305"/>
        <v>0</v>
      </c>
      <c r="L100" s="71"/>
      <c r="M100" s="167"/>
      <c r="N100" s="223">
        <f t="shared" si="307"/>
        <v>0</v>
      </c>
      <c r="O100" s="71"/>
      <c r="P100" s="161"/>
      <c r="Q100" s="161"/>
      <c r="R100" s="71"/>
      <c r="S100" s="167"/>
      <c r="T100" s="203">
        <f t="shared" si="309"/>
        <v>0</v>
      </c>
      <c r="U100" s="213"/>
      <c r="V100" s="199">
        <f t="shared" si="301"/>
        <v>0</v>
      </c>
      <c r="X100" s="71"/>
      <c r="Y100" s="167"/>
      <c r="Z100" s="203">
        <f t="shared" si="303"/>
        <v>0</v>
      </c>
      <c r="AA100" s="70"/>
      <c r="AB100" s="167"/>
      <c r="AC100" s="223">
        <f t="shared" si="311"/>
        <v>0</v>
      </c>
      <c r="AD100" s="71"/>
      <c r="AE100" s="167"/>
      <c r="AF100" s="203">
        <f t="shared" si="313"/>
        <v>0</v>
      </c>
      <c r="AG100" s="70"/>
      <c r="AH100" s="167"/>
      <c r="AI100" s="223">
        <f t="shared" si="315"/>
        <v>0</v>
      </c>
      <c r="AJ100" s="71"/>
      <c r="AK100" s="167"/>
      <c r="AL100" s="203">
        <f t="shared" si="317"/>
        <v>0</v>
      </c>
      <c r="AM100" s="198"/>
      <c r="AN100" s="199">
        <f t="shared" si="319"/>
        <v>0</v>
      </c>
    </row>
    <row r="101" spans="2:40" ht="15" customHeight="1" outlineLevel="1" x14ac:dyDescent="0.25">
      <c r="B101" s="349" t="s">
        <v>90</v>
      </c>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97"/>
    </row>
    <row r="102" spans="2:40" ht="15" customHeight="1" outlineLevel="1" x14ac:dyDescent="0.25">
      <c r="B102" s="52" t="s">
        <v>82</v>
      </c>
      <c r="C102" s="49" t="s">
        <v>22</v>
      </c>
      <c r="D102" s="207">
        <f>SUM(D86:D100)</f>
        <v>0</v>
      </c>
      <c r="E102" s="208">
        <f>SUM(E86:E100)</f>
        <v>0</v>
      </c>
      <c r="F102" s="225">
        <f>SUM(F86:F100)</f>
        <v>0</v>
      </c>
      <c r="G102" s="172">
        <f>SUM(G86:G100)</f>
        <v>0</v>
      </c>
      <c r="H102" s="224">
        <f>IFERROR((G102-E102)/E102,0)</f>
        <v>0</v>
      </c>
      <c r="I102" s="207">
        <f>SUM(I86:I100)</f>
        <v>0</v>
      </c>
      <c r="J102" s="172">
        <f>SUM(J86:J100)</f>
        <v>0</v>
      </c>
      <c r="K102" s="202">
        <f t="shared" ref="K102" si="325">IFERROR((J102-G102)/G102,0)</f>
        <v>0</v>
      </c>
      <c r="L102" s="225">
        <f>SUM(L86:L100)</f>
        <v>0</v>
      </c>
      <c r="M102" s="172">
        <f>SUM(M86:M100)</f>
        <v>0</v>
      </c>
      <c r="N102" s="224">
        <f t="shared" ref="N102" si="326">IFERROR((M102-J102)/J102,0)</f>
        <v>0</v>
      </c>
      <c r="O102" s="207">
        <f>SUM(O86:O100)</f>
        <v>4</v>
      </c>
      <c r="P102" s="161"/>
      <c r="Q102" s="161"/>
      <c r="R102" s="207">
        <f>SUM(R86:R100)</f>
        <v>59</v>
      </c>
      <c r="S102" s="172">
        <f>SUM(S86:S100)</f>
        <v>59</v>
      </c>
      <c r="T102" s="202">
        <f t="shared" ref="T102" si="327">IFERROR((S102-M102)/M102,0)</f>
        <v>0</v>
      </c>
      <c r="U102" s="215">
        <f>SUM(U86:U100)</f>
        <v>59</v>
      </c>
      <c r="V102" s="192">
        <f>IFERROR((S102/E102)^(1/4)-1,0)</f>
        <v>0</v>
      </c>
      <c r="X102" s="188">
        <f>SUM(X86:X100)</f>
        <v>813</v>
      </c>
      <c r="Y102" s="215">
        <f>SUM(Y86:Y100)</f>
        <v>872</v>
      </c>
      <c r="Z102" s="202">
        <f>IFERROR((Y102-S102)/S102,0)</f>
        <v>13.779661016949152</v>
      </c>
      <c r="AA102" s="188">
        <f>SUM(AA86:AA100)</f>
        <v>789</v>
      </c>
      <c r="AB102" s="215">
        <f>SUM(AB86:AB100)</f>
        <v>1661</v>
      </c>
      <c r="AC102" s="217">
        <f>IFERROR((AB102-Y102)/Y102,0)</f>
        <v>0.90481651376146788</v>
      </c>
      <c r="AD102" s="188">
        <f>SUM(AD86:AD100)</f>
        <v>295</v>
      </c>
      <c r="AE102" s="215">
        <f>SUM(AE86:AE100)</f>
        <v>1956</v>
      </c>
      <c r="AF102" s="216">
        <f>IFERROR((AE102-AB102)/AB102,0)</f>
        <v>0.17760385310054183</v>
      </c>
      <c r="AG102" s="188">
        <f>SUM(AG86:AG100)</f>
        <v>150</v>
      </c>
      <c r="AH102" s="215">
        <f>SUM(AH86:AH100)</f>
        <v>2106</v>
      </c>
      <c r="AI102" s="217">
        <f>IFERROR((AH102-AE102)/AE102,0)</f>
        <v>7.6687116564417179E-2</v>
      </c>
      <c r="AJ102" s="188">
        <f>SUM(AJ86:AJ100)</f>
        <v>77</v>
      </c>
      <c r="AK102" s="215">
        <f>SUM(AK86:AK100)</f>
        <v>2183</v>
      </c>
      <c r="AL102" s="191">
        <f>IFERROR((AK102-AH102)/AH102,0)</f>
        <v>3.6562203228869897E-2</v>
      </c>
      <c r="AM102" s="215">
        <f>SUM(AM86:AM100)</f>
        <v>2124</v>
      </c>
      <c r="AN102" s="199">
        <f t="shared" ref="AN102" si="328">IFERROR((AK102/Y102)^(1/4)-1,0)</f>
        <v>0.25786580985904806</v>
      </c>
    </row>
    <row r="104" spans="2:40" ht="15.75" x14ac:dyDescent="0.25">
      <c r="B104" s="352" t="s">
        <v>207</v>
      </c>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row>
    <row r="105" spans="2:40" ht="5.45" customHeight="1" outlineLevel="1" x14ac:dyDescent="0.2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row>
    <row r="106" spans="2:40" outlineLevel="1" x14ac:dyDescent="0.25">
      <c r="B106" s="393"/>
      <c r="C106" s="396" t="s">
        <v>20</v>
      </c>
      <c r="D106" s="372" t="s">
        <v>262</v>
      </c>
      <c r="E106" s="373"/>
      <c r="F106" s="373"/>
      <c r="G106" s="373"/>
      <c r="H106" s="373"/>
      <c r="I106" s="373"/>
      <c r="J106" s="373"/>
      <c r="K106" s="373"/>
      <c r="L106" s="373"/>
      <c r="M106" s="373"/>
      <c r="N106" s="373"/>
      <c r="O106" s="373"/>
      <c r="P106" s="373"/>
      <c r="Q106" s="374"/>
      <c r="R106" s="372" t="s">
        <v>260</v>
      </c>
      <c r="S106" s="373"/>
      <c r="T106" s="374"/>
      <c r="U106" s="388" t="str">
        <f xml:space="preserve"> D107&amp;" - "&amp;R107</f>
        <v>2018 - 2022</v>
      </c>
      <c r="V106" s="398"/>
      <c r="X106" s="372" t="s">
        <v>263</v>
      </c>
      <c r="Y106" s="373"/>
      <c r="Z106" s="373"/>
      <c r="AA106" s="373"/>
      <c r="AB106" s="373"/>
      <c r="AC106" s="373"/>
      <c r="AD106" s="373"/>
      <c r="AE106" s="373"/>
      <c r="AF106" s="373"/>
      <c r="AG106" s="373"/>
      <c r="AH106" s="373"/>
      <c r="AI106" s="373"/>
      <c r="AJ106" s="373"/>
      <c r="AK106" s="373"/>
      <c r="AL106" s="373"/>
      <c r="AM106" s="373"/>
      <c r="AN106" s="374"/>
    </row>
    <row r="107" spans="2:40" outlineLevel="1" x14ac:dyDescent="0.25">
      <c r="B107" s="394"/>
      <c r="C107" s="396"/>
      <c r="D107" s="372">
        <f>$C$3-5</f>
        <v>2018</v>
      </c>
      <c r="E107" s="374"/>
      <c r="F107" s="373">
        <f>$C$3-4</f>
        <v>2019</v>
      </c>
      <c r="G107" s="373"/>
      <c r="H107" s="373"/>
      <c r="I107" s="372">
        <f>$C$3-3</f>
        <v>2020</v>
      </c>
      <c r="J107" s="373"/>
      <c r="K107" s="374"/>
      <c r="L107" s="372">
        <f>$C$3-2</f>
        <v>2021</v>
      </c>
      <c r="M107" s="373"/>
      <c r="N107" s="374"/>
      <c r="O107" s="372" t="str">
        <f>$C$3-1&amp;""&amp;" ("&amp;"Σεπτ"&amp;")"</f>
        <v>2022 (Σεπτ)</v>
      </c>
      <c r="P107" s="373"/>
      <c r="Q107" s="374"/>
      <c r="R107" s="372">
        <f>$C$3-1</f>
        <v>2022</v>
      </c>
      <c r="S107" s="373"/>
      <c r="T107" s="374"/>
      <c r="U107" s="390"/>
      <c r="V107" s="399"/>
      <c r="X107" s="372">
        <f>$C$3</f>
        <v>2023</v>
      </c>
      <c r="Y107" s="373"/>
      <c r="Z107" s="374"/>
      <c r="AA107" s="373">
        <f>$C$3+1</f>
        <v>2024</v>
      </c>
      <c r="AB107" s="373"/>
      <c r="AC107" s="373"/>
      <c r="AD107" s="372">
        <f>$C$3+2</f>
        <v>2025</v>
      </c>
      <c r="AE107" s="373"/>
      <c r="AF107" s="374"/>
      <c r="AG107" s="373">
        <f>$C$3+3</f>
        <v>2026</v>
      </c>
      <c r="AH107" s="373"/>
      <c r="AI107" s="373"/>
      <c r="AJ107" s="372">
        <f>$C$3+4</f>
        <v>2027</v>
      </c>
      <c r="AK107" s="373"/>
      <c r="AL107" s="374"/>
      <c r="AM107" s="376" t="str">
        <f>X107&amp;" - "&amp;AJ107</f>
        <v>2023 - 2027</v>
      </c>
      <c r="AN107" s="392"/>
    </row>
    <row r="108" spans="2:40" ht="30" outlineLevel="1" x14ac:dyDescent="0.25">
      <c r="B108" s="395"/>
      <c r="C108" s="396"/>
      <c r="D108" s="67" t="s">
        <v>6</v>
      </c>
      <c r="E108" s="68" t="s">
        <v>7</v>
      </c>
      <c r="F108" s="78" t="s">
        <v>6</v>
      </c>
      <c r="G108" s="9" t="s">
        <v>7</v>
      </c>
      <c r="H108" s="68" t="s">
        <v>81</v>
      </c>
      <c r="I108" s="78" t="s">
        <v>6</v>
      </c>
      <c r="J108" s="9" t="s">
        <v>7</v>
      </c>
      <c r="K108" s="68" t="s">
        <v>81</v>
      </c>
      <c r="L108" s="78" t="s">
        <v>6</v>
      </c>
      <c r="M108" s="9" t="s">
        <v>7</v>
      </c>
      <c r="N108" s="68" t="s">
        <v>81</v>
      </c>
      <c r="O108" s="78" t="s">
        <v>6</v>
      </c>
      <c r="P108" s="9" t="s">
        <v>7</v>
      </c>
      <c r="Q108" s="68" t="s">
        <v>81</v>
      </c>
      <c r="R108" s="78" t="s">
        <v>6</v>
      </c>
      <c r="S108" s="9" t="s">
        <v>7</v>
      </c>
      <c r="T108" s="68" t="s">
        <v>81</v>
      </c>
      <c r="U108" s="67" t="s">
        <v>17</v>
      </c>
      <c r="V108" s="132" t="s">
        <v>83</v>
      </c>
      <c r="X108" s="67" t="s">
        <v>6</v>
      </c>
      <c r="Y108" s="9" t="s">
        <v>7</v>
      </c>
      <c r="Z108" s="68" t="s">
        <v>81</v>
      </c>
      <c r="AA108" s="78" t="s">
        <v>6</v>
      </c>
      <c r="AB108" s="9" t="s">
        <v>7</v>
      </c>
      <c r="AC108" s="68" t="s">
        <v>81</v>
      </c>
      <c r="AD108" s="78" t="s">
        <v>6</v>
      </c>
      <c r="AE108" s="9" t="s">
        <v>7</v>
      </c>
      <c r="AF108" s="68" t="s">
        <v>81</v>
      </c>
      <c r="AG108" s="78" t="s">
        <v>6</v>
      </c>
      <c r="AH108" s="9" t="s">
        <v>7</v>
      </c>
      <c r="AI108" s="68" t="s">
        <v>81</v>
      </c>
      <c r="AJ108" s="78" t="s">
        <v>6</v>
      </c>
      <c r="AK108" s="9" t="s">
        <v>7</v>
      </c>
      <c r="AL108" s="68" t="s">
        <v>81</v>
      </c>
      <c r="AM108" s="78" t="s">
        <v>17</v>
      </c>
      <c r="AN108" s="132" t="s">
        <v>83</v>
      </c>
    </row>
    <row r="109" spans="2:40" outlineLevel="1" x14ac:dyDescent="0.25">
      <c r="B109" s="281" t="s">
        <v>283</v>
      </c>
      <c r="C109" s="64" t="s">
        <v>22</v>
      </c>
      <c r="D109" s="71">
        <v>0</v>
      </c>
      <c r="E109" s="71">
        <v>0</v>
      </c>
      <c r="F109" s="71">
        <v>0</v>
      </c>
      <c r="G109" s="167">
        <f t="shared" ref="G109:G117" si="329">E109+F109</f>
        <v>0</v>
      </c>
      <c r="H109" s="223">
        <f t="shared" ref="H109:H123" si="330">IFERROR((G109-E109)/E109,0)</f>
        <v>0</v>
      </c>
      <c r="I109" s="71">
        <v>0</v>
      </c>
      <c r="J109" s="167">
        <f>G109+I109</f>
        <v>0</v>
      </c>
      <c r="K109" s="203">
        <f>IFERROR((J109-G109)/G109,0)</f>
        <v>0</v>
      </c>
      <c r="L109" s="71">
        <v>0</v>
      </c>
      <c r="M109" s="167">
        <f>J109+L109</f>
        <v>0</v>
      </c>
      <c r="N109" s="223">
        <f>IFERROR((M109-J109)/J109,0)</f>
        <v>0</v>
      </c>
      <c r="O109" s="71"/>
      <c r="P109" s="161"/>
      <c r="Q109" s="161"/>
      <c r="R109" s="71"/>
      <c r="S109" s="167">
        <f>M109+R109</f>
        <v>0</v>
      </c>
      <c r="T109" s="203">
        <f>IFERROR((S109-M109)/M109,0)</f>
        <v>0</v>
      </c>
      <c r="U109" s="213">
        <f t="shared" ref="U109:U117" si="331">D109+F109+I109+L109+R109</f>
        <v>0</v>
      </c>
      <c r="V109" s="199">
        <f t="shared" ref="V109:V123" si="332">IFERROR((S109/E109)^(1/4)-1,0)</f>
        <v>0</v>
      </c>
      <c r="X109" s="71">
        <f>'Ανάλυση για νέους πελάτες'!D73</f>
        <v>2</v>
      </c>
      <c r="Y109" s="167">
        <f t="shared" ref="Y109:Y117" si="333">S109+X109</f>
        <v>2</v>
      </c>
      <c r="Z109" s="203">
        <f t="shared" ref="Z109:Z123" si="334">IFERROR((Y109-S109)/S109,0)</f>
        <v>0</v>
      </c>
      <c r="AA109" s="70">
        <f>'Ανάλυση για νέους πελάτες'!E73</f>
        <v>2</v>
      </c>
      <c r="AB109" s="167">
        <f>Y109+AA109</f>
        <v>4</v>
      </c>
      <c r="AC109" s="223">
        <f>IFERROR((AB109-Y109)/Y109,0)</f>
        <v>1</v>
      </c>
      <c r="AD109" s="71">
        <f>'Ανάλυση για νέους πελάτες'!F73</f>
        <v>0</v>
      </c>
      <c r="AE109" s="167">
        <f>AB109+AD109</f>
        <v>4</v>
      </c>
      <c r="AF109" s="203">
        <f>IFERROR((AE109-AB109)/AB109,0)</f>
        <v>0</v>
      </c>
      <c r="AG109" s="70">
        <f>'Ανάλυση για νέους πελάτες'!G73</f>
        <v>0</v>
      </c>
      <c r="AH109" s="167">
        <f>AE109+AG109</f>
        <v>4</v>
      </c>
      <c r="AI109" s="223">
        <f>IFERROR((AH109-AE109)/AE109,0)</f>
        <v>0</v>
      </c>
      <c r="AJ109" s="71">
        <f>'Ανάλυση για νέους πελάτες'!H73</f>
        <v>0</v>
      </c>
      <c r="AK109" s="167">
        <f>AH109+AJ109</f>
        <v>4</v>
      </c>
      <c r="AL109" s="203">
        <f>IFERROR((AK109-AH109)/AH109,0)</f>
        <v>0</v>
      </c>
      <c r="AM109" s="198">
        <f>X109+AA109+AD109+AG109+AJ109</f>
        <v>4</v>
      </c>
      <c r="AN109" s="199">
        <f>IFERROR((AK109/Y109)^(1/4)-1,0)</f>
        <v>0.18920711500272103</v>
      </c>
    </row>
    <row r="110" spans="2:40" outlineLevel="1" x14ac:dyDescent="0.25">
      <c r="B110" s="52" t="s">
        <v>284</v>
      </c>
      <c r="C110" s="64" t="s">
        <v>22</v>
      </c>
      <c r="D110" s="71">
        <v>0</v>
      </c>
      <c r="E110" s="71">
        <v>0</v>
      </c>
      <c r="F110" s="71">
        <v>0</v>
      </c>
      <c r="G110" s="167">
        <f t="shared" si="329"/>
        <v>0</v>
      </c>
      <c r="H110" s="223">
        <f t="shared" si="330"/>
        <v>0</v>
      </c>
      <c r="I110" s="71">
        <v>0</v>
      </c>
      <c r="J110" s="167">
        <f t="shared" ref="J110:J117" si="335">G110+I110</f>
        <v>0</v>
      </c>
      <c r="K110" s="203">
        <f t="shared" ref="K110:K123" si="336">IFERROR((J110-G110)/G110,0)</f>
        <v>0</v>
      </c>
      <c r="L110" s="71">
        <v>0</v>
      </c>
      <c r="M110" s="167">
        <f t="shared" ref="M110:M117" si="337">J110+L110</f>
        <v>0</v>
      </c>
      <c r="N110" s="223">
        <f t="shared" ref="N110:N123" si="338">IFERROR((M110-J110)/J110,0)</f>
        <v>0</v>
      </c>
      <c r="O110" s="71"/>
      <c r="P110" s="161"/>
      <c r="Q110" s="161"/>
      <c r="R110" s="71"/>
      <c r="S110" s="167">
        <f t="shared" ref="S110:S117" si="339">M110+R110</f>
        <v>0</v>
      </c>
      <c r="T110" s="203">
        <f t="shared" ref="T110:T123" si="340">IFERROR((S110-M110)/M110,0)</f>
        <v>0</v>
      </c>
      <c r="U110" s="213">
        <f t="shared" si="331"/>
        <v>0</v>
      </c>
      <c r="V110" s="199">
        <f t="shared" si="332"/>
        <v>0</v>
      </c>
      <c r="X110" s="71">
        <f>'Ανάλυση για νέους πελάτες'!D74</f>
        <v>17</v>
      </c>
      <c r="Y110" s="167">
        <f t="shared" si="333"/>
        <v>17</v>
      </c>
      <c r="Z110" s="203">
        <f t="shared" si="334"/>
        <v>0</v>
      </c>
      <c r="AA110" s="70">
        <f>'Ανάλυση για νέους πελάτες'!E74</f>
        <v>4</v>
      </c>
      <c r="AB110" s="167">
        <f t="shared" ref="AB110:AB117" si="341">Y110+AA110</f>
        <v>21</v>
      </c>
      <c r="AC110" s="223">
        <f t="shared" ref="AC110:AC123" si="342">IFERROR((AB110-Y110)/Y110,0)</f>
        <v>0.23529411764705882</v>
      </c>
      <c r="AD110" s="71">
        <f>'Ανάλυση για νέους πελάτες'!F74</f>
        <v>4</v>
      </c>
      <c r="AE110" s="167">
        <f t="shared" ref="AE110:AE117" si="343">AB110+AD110</f>
        <v>25</v>
      </c>
      <c r="AF110" s="203">
        <f t="shared" ref="AF110:AF123" si="344">IFERROR((AE110-AB110)/AB110,0)</f>
        <v>0.19047619047619047</v>
      </c>
      <c r="AG110" s="70">
        <f>'Ανάλυση για νέους πελάτες'!G74</f>
        <v>0</v>
      </c>
      <c r="AH110" s="167">
        <f t="shared" ref="AH110:AH117" si="345">AE110+AG110</f>
        <v>25</v>
      </c>
      <c r="AI110" s="223">
        <f t="shared" ref="AI110:AI123" si="346">IFERROR((AH110-AE110)/AE110,0)</f>
        <v>0</v>
      </c>
      <c r="AJ110" s="71">
        <f>'Ανάλυση για νέους πελάτες'!H74</f>
        <v>0</v>
      </c>
      <c r="AK110" s="167">
        <f t="shared" ref="AK110:AK117" si="347">AH110+AJ110</f>
        <v>25</v>
      </c>
      <c r="AL110" s="203">
        <f t="shared" ref="AL110:AL123" si="348">IFERROR((AK110-AH110)/AH110,0)</f>
        <v>0</v>
      </c>
      <c r="AM110" s="198">
        <f t="shared" ref="AM110:AM117" si="349">X110+AA110+AD110+AG110+AJ110</f>
        <v>25</v>
      </c>
      <c r="AN110" s="199">
        <f t="shared" ref="AN110:AN123" si="350">IFERROR((AK110/Y110)^(1/4)-1,0)</f>
        <v>0.10121665678542335</v>
      </c>
    </row>
    <row r="111" spans="2:40" outlineLevel="1" x14ac:dyDescent="0.25">
      <c r="B111" s="52" t="s">
        <v>285</v>
      </c>
      <c r="C111" s="64" t="s">
        <v>22</v>
      </c>
      <c r="D111" s="71">
        <v>0</v>
      </c>
      <c r="E111" s="71">
        <v>0</v>
      </c>
      <c r="F111" s="71">
        <v>0</v>
      </c>
      <c r="G111" s="167">
        <f t="shared" si="329"/>
        <v>0</v>
      </c>
      <c r="H111" s="223">
        <f t="shared" si="330"/>
        <v>0</v>
      </c>
      <c r="I111" s="71">
        <v>0</v>
      </c>
      <c r="J111" s="167">
        <f t="shared" si="335"/>
        <v>0</v>
      </c>
      <c r="K111" s="203">
        <f t="shared" si="336"/>
        <v>0</v>
      </c>
      <c r="L111" s="71">
        <v>0</v>
      </c>
      <c r="M111" s="167">
        <f t="shared" si="337"/>
        <v>0</v>
      </c>
      <c r="N111" s="223">
        <f t="shared" si="338"/>
        <v>0</v>
      </c>
      <c r="O111" s="71"/>
      <c r="P111" s="161"/>
      <c r="Q111" s="161"/>
      <c r="R111" s="71"/>
      <c r="S111" s="167">
        <f t="shared" si="339"/>
        <v>0</v>
      </c>
      <c r="T111" s="203">
        <f t="shared" si="340"/>
        <v>0</v>
      </c>
      <c r="U111" s="213">
        <f t="shared" si="331"/>
        <v>0</v>
      </c>
      <c r="V111" s="199">
        <f t="shared" si="332"/>
        <v>0</v>
      </c>
      <c r="X111" s="71">
        <f>'Ανάλυση για νέους πελάτες'!D75</f>
        <v>18</v>
      </c>
      <c r="Y111" s="167">
        <f t="shared" si="333"/>
        <v>18</v>
      </c>
      <c r="Z111" s="203">
        <f t="shared" si="334"/>
        <v>0</v>
      </c>
      <c r="AA111" s="70">
        <f>'Ανάλυση για νέους πελάτες'!E75</f>
        <v>8</v>
      </c>
      <c r="AB111" s="167">
        <f t="shared" si="341"/>
        <v>26</v>
      </c>
      <c r="AC111" s="223">
        <f t="shared" si="342"/>
        <v>0.44444444444444442</v>
      </c>
      <c r="AD111" s="71">
        <f>'Ανάλυση για νέους πελάτες'!F75</f>
        <v>7</v>
      </c>
      <c r="AE111" s="167">
        <f t="shared" si="343"/>
        <v>33</v>
      </c>
      <c r="AF111" s="203">
        <f t="shared" si="344"/>
        <v>0.26923076923076922</v>
      </c>
      <c r="AG111" s="70">
        <f>'Ανάλυση για νέους πελάτες'!G75</f>
        <v>0</v>
      </c>
      <c r="AH111" s="167">
        <f t="shared" si="345"/>
        <v>33</v>
      </c>
      <c r="AI111" s="223">
        <f t="shared" si="346"/>
        <v>0</v>
      </c>
      <c r="AJ111" s="71">
        <f>'Ανάλυση για νέους πελάτες'!H75</f>
        <v>0</v>
      </c>
      <c r="AK111" s="167">
        <f t="shared" si="347"/>
        <v>33</v>
      </c>
      <c r="AL111" s="203">
        <f t="shared" si="348"/>
        <v>0</v>
      </c>
      <c r="AM111" s="198">
        <f t="shared" si="349"/>
        <v>33</v>
      </c>
      <c r="AN111" s="199">
        <f t="shared" si="350"/>
        <v>0.16361780700222184</v>
      </c>
    </row>
    <row r="112" spans="2:40" ht="16.5" customHeight="1" outlineLevel="1" x14ac:dyDescent="0.25">
      <c r="B112" s="52" t="s">
        <v>286</v>
      </c>
      <c r="C112" s="64" t="s">
        <v>22</v>
      </c>
      <c r="D112" s="71">
        <v>0</v>
      </c>
      <c r="E112" s="71">
        <v>0</v>
      </c>
      <c r="F112" s="71">
        <v>0</v>
      </c>
      <c r="G112" s="167">
        <f t="shared" si="329"/>
        <v>0</v>
      </c>
      <c r="H112" s="223">
        <f t="shared" si="330"/>
        <v>0</v>
      </c>
      <c r="I112" s="71">
        <v>0</v>
      </c>
      <c r="J112" s="167">
        <f t="shared" si="335"/>
        <v>0</v>
      </c>
      <c r="K112" s="203">
        <f t="shared" si="336"/>
        <v>0</v>
      </c>
      <c r="L112" s="71">
        <v>0</v>
      </c>
      <c r="M112" s="167">
        <f t="shared" si="337"/>
        <v>0</v>
      </c>
      <c r="N112" s="223">
        <f t="shared" si="338"/>
        <v>0</v>
      </c>
      <c r="O112" s="71"/>
      <c r="P112" s="161"/>
      <c r="Q112" s="161"/>
      <c r="R112" s="71"/>
      <c r="S112" s="167">
        <f t="shared" si="339"/>
        <v>0</v>
      </c>
      <c r="T112" s="203">
        <f t="shared" si="340"/>
        <v>0</v>
      </c>
      <c r="U112" s="213">
        <f t="shared" si="331"/>
        <v>0</v>
      </c>
      <c r="V112" s="199">
        <f t="shared" si="332"/>
        <v>0</v>
      </c>
      <c r="X112" s="71">
        <f>'Ανάλυση για νέους πελάτες'!D76</f>
        <v>4</v>
      </c>
      <c r="Y112" s="167">
        <f t="shared" si="333"/>
        <v>4</v>
      </c>
      <c r="Z112" s="203">
        <f t="shared" si="334"/>
        <v>0</v>
      </c>
      <c r="AA112" s="70">
        <f>'Ανάλυση για νέους πελάτες'!E76</f>
        <v>16</v>
      </c>
      <c r="AB112" s="167">
        <f t="shared" si="341"/>
        <v>20</v>
      </c>
      <c r="AC112" s="223">
        <f t="shared" si="342"/>
        <v>4</v>
      </c>
      <c r="AD112" s="71">
        <f>'Ανάλυση για νέους πελάτες'!F76</f>
        <v>4</v>
      </c>
      <c r="AE112" s="167">
        <f t="shared" si="343"/>
        <v>24</v>
      </c>
      <c r="AF112" s="203">
        <f t="shared" si="344"/>
        <v>0.2</v>
      </c>
      <c r="AG112" s="70">
        <f>'Ανάλυση για νέους πελάτες'!G76</f>
        <v>2</v>
      </c>
      <c r="AH112" s="167">
        <f t="shared" si="345"/>
        <v>26</v>
      </c>
      <c r="AI112" s="223">
        <f t="shared" si="346"/>
        <v>8.3333333333333329E-2</v>
      </c>
      <c r="AJ112" s="71">
        <f>'Ανάλυση για νέους πελάτες'!H76</f>
        <v>2</v>
      </c>
      <c r="AK112" s="167">
        <f t="shared" si="347"/>
        <v>28</v>
      </c>
      <c r="AL112" s="203">
        <f t="shared" si="348"/>
        <v>7.6923076923076927E-2</v>
      </c>
      <c r="AM112" s="198">
        <f t="shared" si="349"/>
        <v>28</v>
      </c>
      <c r="AN112" s="199">
        <f t="shared" si="350"/>
        <v>0.62657656169778564</v>
      </c>
    </row>
    <row r="113" spans="2:40" ht="16.5" customHeight="1" outlineLevel="1" x14ac:dyDescent="0.25">
      <c r="B113" s="52" t="s">
        <v>287</v>
      </c>
      <c r="C113" s="64" t="s">
        <v>22</v>
      </c>
      <c r="D113" s="71">
        <v>0</v>
      </c>
      <c r="E113" s="71">
        <v>0</v>
      </c>
      <c r="F113" s="71">
        <v>0</v>
      </c>
      <c r="G113" s="167">
        <f t="shared" si="329"/>
        <v>0</v>
      </c>
      <c r="H113" s="223">
        <f t="shared" si="330"/>
        <v>0</v>
      </c>
      <c r="I113" s="71">
        <v>0</v>
      </c>
      <c r="J113" s="167">
        <f t="shared" si="335"/>
        <v>0</v>
      </c>
      <c r="K113" s="203">
        <f t="shared" si="336"/>
        <v>0</v>
      </c>
      <c r="L113" s="71">
        <v>0</v>
      </c>
      <c r="M113" s="167">
        <f t="shared" si="337"/>
        <v>0</v>
      </c>
      <c r="N113" s="223">
        <f t="shared" si="338"/>
        <v>0</v>
      </c>
      <c r="O113" s="71"/>
      <c r="P113" s="161"/>
      <c r="Q113" s="161"/>
      <c r="R113" s="71"/>
      <c r="S113" s="167">
        <f t="shared" si="339"/>
        <v>0</v>
      </c>
      <c r="T113" s="203">
        <f t="shared" si="340"/>
        <v>0</v>
      </c>
      <c r="U113" s="213">
        <f t="shared" si="331"/>
        <v>0</v>
      </c>
      <c r="V113" s="199">
        <f t="shared" si="332"/>
        <v>0</v>
      </c>
      <c r="X113" s="71">
        <f>'Ανάλυση για νέους πελάτες'!D77</f>
        <v>0</v>
      </c>
      <c r="Y113" s="167">
        <f t="shared" si="333"/>
        <v>0</v>
      </c>
      <c r="Z113" s="203">
        <f t="shared" si="334"/>
        <v>0</v>
      </c>
      <c r="AA113" s="70">
        <f>'Ανάλυση για νέους πελάτες'!E77</f>
        <v>45</v>
      </c>
      <c r="AB113" s="167">
        <f t="shared" si="341"/>
        <v>45</v>
      </c>
      <c r="AC113" s="223">
        <f t="shared" si="342"/>
        <v>0</v>
      </c>
      <c r="AD113" s="71">
        <f>'Ανάλυση για νέους πελάτες'!F77</f>
        <v>2</v>
      </c>
      <c r="AE113" s="167">
        <f t="shared" si="343"/>
        <v>47</v>
      </c>
      <c r="AF113" s="203">
        <f t="shared" si="344"/>
        <v>4.4444444444444446E-2</v>
      </c>
      <c r="AG113" s="70">
        <f>'Ανάλυση για νέους πελάτες'!G77</f>
        <v>2</v>
      </c>
      <c r="AH113" s="167">
        <f t="shared" si="345"/>
        <v>49</v>
      </c>
      <c r="AI113" s="223">
        <f t="shared" si="346"/>
        <v>4.2553191489361701E-2</v>
      </c>
      <c r="AJ113" s="71">
        <f>'Ανάλυση για νέους πελάτες'!H77</f>
        <v>2</v>
      </c>
      <c r="AK113" s="167">
        <f t="shared" si="347"/>
        <v>51</v>
      </c>
      <c r="AL113" s="203">
        <f t="shared" si="348"/>
        <v>4.0816326530612242E-2</v>
      </c>
      <c r="AM113" s="198">
        <f t="shared" si="349"/>
        <v>51</v>
      </c>
      <c r="AN113" s="199">
        <f t="shared" si="350"/>
        <v>0</v>
      </c>
    </row>
    <row r="114" spans="2:40" ht="16.5" customHeight="1" outlineLevel="1" x14ac:dyDescent="0.25">
      <c r="B114" s="52" t="s">
        <v>288</v>
      </c>
      <c r="C114" s="64" t="s">
        <v>22</v>
      </c>
      <c r="D114" s="71">
        <v>0</v>
      </c>
      <c r="E114" s="71">
        <v>0</v>
      </c>
      <c r="F114" s="71">
        <v>0</v>
      </c>
      <c r="G114" s="167">
        <f t="shared" si="329"/>
        <v>0</v>
      </c>
      <c r="H114" s="223">
        <f t="shared" si="330"/>
        <v>0</v>
      </c>
      <c r="I114" s="71">
        <v>0</v>
      </c>
      <c r="J114" s="167">
        <f t="shared" si="335"/>
        <v>0</v>
      </c>
      <c r="K114" s="203">
        <f t="shared" si="336"/>
        <v>0</v>
      </c>
      <c r="L114" s="71">
        <v>0</v>
      </c>
      <c r="M114" s="167">
        <f t="shared" si="337"/>
        <v>0</v>
      </c>
      <c r="N114" s="223">
        <f t="shared" si="338"/>
        <v>0</v>
      </c>
      <c r="O114" s="71"/>
      <c r="P114" s="161"/>
      <c r="Q114" s="161"/>
      <c r="R114" s="71"/>
      <c r="S114" s="167">
        <f t="shared" si="339"/>
        <v>0</v>
      </c>
      <c r="T114" s="203">
        <f t="shared" si="340"/>
        <v>0</v>
      </c>
      <c r="U114" s="213">
        <f t="shared" si="331"/>
        <v>0</v>
      </c>
      <c r="V114" s="199">
        <f t="shared" si="332"/>
        <v>0</v>
      </c>
      <c r="X114" s="71">
        <f>'Ανάλυση για νέους πελάτες'!D78</f>
        <v>14</v>
      </c>
      <c r="Y114" s="167">
        <f t="shared" si="333"/>
        <v>14</v>
      </c>
      <c r="Z114" s="203">
        <f t="shared" si="334"/>
        <v>0</v>
      </c>
      <c r="AA114" s="70">
        <f>'Ανάλυση για νέους πελάτες'!E78</f>
        <v>1</v>
      </c>
      <c r="AB114" s="167">
        <f t="shared" si="341"/>
        <v>15</v>
      </c>
      <c r="AC114" s="223">
        <f t="shared" si="342"/>
        <v>7.1428571428571425E-2</v>
      </c>
      <c r="AD114" s="71">
        <f>'Ανάλυση για νέους πελάτες'!F78</f>
        <v>0</v>
      </c>
      <c r="AE114" s="167">
        <f t="shared" si="343"/>
        <v>15</v>
      </c>
      <c r="AF114" s="203">
        <f t="shared" si="344"/>
        <v>0</v>
      </c>
      <c r="AG114" s="70">
        <f>'Ανάλυση για νέους πελάτες'!G78</f>
        <v>0</v>
      </c>
      <c r="AH114" s="167">
        <f t="shared" si="345"/>
        <v>15</v>
      </c>
      <c r="AI114" s="223">
        <f t="shared" si="346"/>
        <v>0</v>
      </c>
      <c r="AJ114" s="71">
        <f>'Ανάλυση για νέους πελάτες'!H78</f>
        <v>0</v>
      </c>
      <c r="AK114" s="167">
        <f t="shared" si="347"/>
        <v>15</v>
      </c>
      <c r="AL114" s="203">
        <f t="shared" si="348"/>
        <v>0</v>
      </c>
      <c r="AM114" s="198">
        <f t="shared" si="349"/>
        <v>15</v>
      </c>
      <c r="AN114" s="199">
        <f t="shared" si="350"/>
        <v>1.7397827309224789E-2</v>
      </c>
    </row>
    <row r="115" spans="2:40" ht="16.5" customHeight="1" outlineLevel="1" x14ac:dyDescent="0.25">
      <c r="B115" s="52" t="s">
        <v>289</v>
      </c>
      <c r="C115" s="64" t="s">
        <v>22</v>
      </c>
      <c r="D115" s="71">
        <v>0</v>
      </c>
      <c r="E115" s="71">
        <v>0</v>
      </c>
      <c r="F115" s="71">
        <v>0</v>
      </c>
      <c r="G115" s="167">
        <f t="shared" si="329"/>
        <v>0</v>
      </c>
      <c r="H115" s="223">
        <f t="shared" si="330"/>
        <v>0</v>
      </c>
      <c r="I115" s="71">
        <v>0</v>
      </c>
      <c r="J115" s="167">
        <f t="shared" si="335"/>
        <v>0</v>
      </c>
      <c r="K115" s="203">
        <f t="shared" si="336"/>
        <v>0</v>
      </c>
      <c r="L115" s="71">
        <v>0</v>
      </c>
      <c r="M115" s="167">
        <f t="shared" si="337"/>
        <v>0</v>
      </c>
      <c r="N115" s="223">
        <f t="shared" si="338"/>
        <v>0</v>
      </c>
      <c r="O115" s="71"/>
      <c r="P115" s="161"/>
      <c r="Q115" s="161"/>
      <c r="R115" s="71"/>
      <c r="S115" s="167">
        <f t="shared" si="339"/>
        <v>0</v>
      </c>
      <c r="T115" s="203">
        <f t="shared" si="340"/>
        <v>0</v>
      </c>
      <c r="U115" s="213">
        <f t="shared" si="331"/>
        <v>0</v>
      </c>
      <c r="V115" s="199">
        <f t="shared" si="332"/>
        <v>0</v>
      </c>
      <c r="X115" s="71">
        <f>'Ανάλυση για νέους πελάτες'!D79</f>
        <v>21</v>
      </c>
      <c r="Y115" s="167">
        <f t="shared" si="333"/>
        <v>21</v>
      </c>
      <c r="Z115" s="203">
        <f t="shared" si="334"/>
        <v>0</v>
      </c>
      <c r="AA115" s="70">
        <f>'Ανάλυση για νέους πελάτες'!E79</f>
        <v>11</v>
      </c>
      <c r="AB115" s="167">
        <f t="shared" si="341"/>
        <v>32</v>
      </c>
      <c r="AC115" s="223">
        <f t="shared" si="342"/>
        <v>0.52380952380952384</v>
      </c>
      <c r="AD115" s="71">
        <f>'Ανάλυση για νέους πελάτες'!F79</f>
        <v>3</v>
      </c>
      <c r="AE115" s="167">
        <f t="shared" si="343"/>
        <v>35</v>
      </c>
      <c r="AF115" s="203">
        <f t="shared" si="344"/>
        <v>9.375E-2</v>
      </c>
      <c r="AG115" s="70">
        <f>'Ανάλυση για νέους πελάτες'!G79</f>
        <v>2</v>
      </c>
      <c r="AH115" s="167">
        <f t="shared" si="345"/>
        <v>37</v>
      </c>
      <c r="AI115" s="223">
        <f t="shared" si="346"/>
        <v>5.7142857142857141E-2</v>
      </c>
      <c r="AJ115" s="71">
        <f>'Ανάλυση για νέους πελάτες'!H79</f>
        <v>1</v>
      </c>
      <c r="AK115" s="167">
        <f t="shared" si="347"/>
        <v>38</v>
      </c>
      <c r="AL115" s="203">
        <f t="shared" si="348"/>
        <v>2.7027027027027029E-2</v>
      </c>
      <c r="AM115" s="198">
        <f t="shared" si="349"/>
        <v>38</v>
      </c>
      <c r="AN115" s="199">
        <f t="shared" si="350"/>
        <v>0.15982128721156807</v>
      </c>
    </row>
    <row r="116" spans="2:40" ht="16.5" customHeight="1" outlineLevel="1" x14ac:dyDescent="0.25">
      <c r="B116" s="52" t="s">
        <v>290</v>
      </c>
      <c r="C116" s="64" t="s">
        <v>22</v>
      </c>
      <c r="D116" s="71">
        <v>0</v>
      </c>
      <c r="E116" s="71">
        <v>0</v>
      </c>
      <c r="F116" s="71">
        <v>0</v>
      </c>
      <c r="G116" s="167">
        <f t="shared" si="329"/>
        <v>0</v>
      </c>
      <c r="H116" s="223">
        <f t="shared" si="330"/>
        <v>0</v>
      </c>
      <c r="I116" s="71">
        <v>0</v>
      </c>
      <c r="J116" s="167">
        <f t="shared" si="335"/>
        <v>0</v>
      </c>
      <c r="K116" s="203">
        <f t="shared" si="336"/>
        <v>0</v>
      </c>
      <c r="L116" s="71">
        <v>0</v>
      </c>
      <c r="M116" s="167">
        <f t="shared" si="337"/>
        <v>0</v>
      </c>
      <c r="N116" s="223">
        <f t="shared" si="338"/>
        <v>0</v>
      </c>
      <c r="O116" s="71"/>
      <c r="P116" s="161"/>
      <c r="Q116" s="161"/>
      <c r="R116" s="71"/>
      <c r="S116" s="167">
        <f t="shared" si="339"/>
        <v>0</v>
      </c>
      <c r="T116" s="203">
        <f t="shared" si="340"/>
        <v>0</v>
      </c>
      <c r="U116" s="213">
        <f t="shared" si="331"/>
        <v>0</v>
      </c>
      <c r="V116" s="199">
        <f t="shared" si="332"/>
        <v>0</v>
      </c>
      <c r="X116" s="71">
        <f>'Ανάλυση για νέους πελάτες'!D80</f>
        <v>53</v>
      </c>
      <c r="Y116" s="167">
        <f t="shared" si="333"/>
        <v>53</v>
      </c>
      <c r="Z116" s="203">
        <f t="shared" si="334"/>
        <v>0</v>
      </c>
      <c r="AA116" s="70">
        <f>'Ανάλυση για νέους πελάτες'!E80</f>
        <v>7</v>
      </c>
      <c r="AB116" s="167">
        <f t="shared" si="341"/>
        <v>60</v>
      </c>
      <c r="AC116" s="223">
        <f t="shared" si="342"/>
        <v>0.13207547169811321</v>
      </c>
      <c r="AD116" s="71">
        <f>'Ανάλυση για νέους πελάτες'!F80</f>
        <v>3</v>
      </c>
      <c r="AE116" s="167">
        <f t="shared" si="343"/>
        <v>63</v>
      </c>
      <c r="AF116" s="203">
        <f t="shared" si="344"/>
        <v>0.05</v>
      </c>
      <c r="AG116" s="70">
        <f>'Ανάλυση για νέους πελάτες'!G80</f>
        <v>2</v>
      </c>
      <c r="AH116" s="167">
        <f t="shared" si="345"/>
        <v>65</v>
      </c>
      <c r="AI116" s="223">
        <f t="shared" si="346"/>
        <v>3.1746031746031744E-2</v>
      </c>
      <c r="AJ116" s="71">
        <f>'Ανάλυση για νέους πελάτες'!H80</f>
        <v>1</v>
      </c>
      <c r="AK116" s="167">
        <f t="shared" si="347"/>
        <v>66</v>
      </c>
      <c r="AL116" s="203">
        <f t="shared" si="348"/>
        <v>1.5384615384615385E-2</v>
      </c>
      <c r="AM116" s="198">
        <f t="shared" si="349"/>
        <v>66</v>
      </c>
      <c r="AN116" s="199">
        <f t="shared" si="350"/>
        <v>5.6372328680377448E-2</v>
      </c>
    </row>
    <row r="117" spans="2:40" ht="16.5" customHeight="1" outlineLevel="1" x14ac:dyDescent="0.25">
      <c r="B117" s="52" t="s">
        <v>291</v>
      </c>
      <c r="C117" s="64" t="s">
        <v>22</v>
      </c>
      <c r="D117" s="71">
        <v>0</v>
      </c>
      <c r="E117" s="71">
        <v>0</v>
      </c>
      <c r="F117" s="71">
        <v>0</v>
      </c>
      <c r="G117" s="167">
        <f t="shared" si="329"/>
        <v>0</v>
      </c>
      <c r="H117" s="223">
        <f t="shared" si="330"/>
        <v>0</v>
      </c>
      <c r="I117" s="71">
        <v>0</v>
      </c>
      <c r="J117" s="167">
        <f t="shared" si="335"/>
        <v>0</v>
      </c>
      <c r="K117" s="203">
        <f t="shared" si="336"/>
        <v>0</v>
      </c>
      <c r="L117" s="71">
        <v>0</v>
      </c>
      <c r="M117" s="167">
        <f t="shared" si="337"/>
        <v>0</v>
      </c>
      <c r="N117" s="223">
        <f t="shared" si="338"/>
        <v>0</v>
      </c>
      <c r="O117" s="71"/>
      <c r="P117" s="161"/>
      <c r="Q117" s="161"/>
      <c r="R117" s="71"/>
      <c r="S117" s="167">
        <f t="shared" si="339"/>
        <v>0</v>
      </c>
      <c r="T117" s="203">
        <f t="shared" si="340"/>
        <v>0</v>
      </c>
      <c r="U117" s="213">
        <f t="shared" si="331"/>
        <v>0</v>
      </c>
      <c r="V117" s="199">
        <f t="shared" si="332"/>
        <v>0</v>
      </c>
      <c r="X117" s="71">
        <f>'Ανάλυση για νέους πελάτες'!D81</f>
        <v>0</v>
      </c>
      <c r="Y117" s="167">
        <f t="shared" si="333"/>
        <v>0</v>
      </c>
      <c r="Z117" s="203">
        <f t="shared" si="334"/>
        <v>0</v>
      </c>
      <c r="AA117" s="70">
        <f>'Ανάλυση για νέους πελάτες'!E81</f>
        <v>12</v>
      </c>
      <c r="AB117" s="167">
        <f t="shared" si="341"/>
        <v>12</v>
      </c>
      <c r="AC117" s="223">
        <f t="shared" si="342"/>
        <v>0</v>
      </c>
      <c r="AD117" s="71">
        <f>'Ανάλυση για νέους πελάτες'!F81</f>
        <v>5</v>
      </c>
      <c r="AE117" s="167">
        <f t="shared" si="343"/>
        <v>17</v>
      </c>
      <c r="AF117" s="203">
        <f t="shared" si="344"/>
        <v>0.41666666666666669</v>
      </c>
      <c r="AG117" s="70">
        <f>'Ανάλυση για νέους πελάτες'!G81</f>
        <v>0</v>
      </c>
      <c r="AH117" s="167">
        <f t="shared" si="345"/>
        <v>17</v>
      </c>
      <c r="AI117" s="223">
        <f t="shared" si="346"/>
        <v>0</v>
      </c>
      <c r="AJ117" s="71">
        <f>'Ανάλυση για νέους πελάτες'!H81</f>
        <v>0</v>
      </c>
      <c r="AK117" s="167">
        <f t="shared" si="347"/>
        <v>17</v>
      </c>
      <c r="AL117" s="203">
        <f t="shared" si="348"/>
        <v>0</v>
      </c>
      <c r="AM117" s="198">
        <f t="shared" si="349"/>
        <v>17</v>
      </c>
      <c r="AN117" s="199">
        <f t="shared" si="350"/>
        <v>0</v>
      </c>
    </row>
    <row r="118" spans="2:40" ht="16.5" customHeight="1" outlineLevel="1" x14ac:dyDescent="0.25">
      <c r="B118" s="52" t="s">
        <v>307</v>
      </c>
      <c r="C118" s="64"/>
      <c r="D118" s="71"/>
      <c r="E118" s="71"/>
      <c r="F118" s="71"/>
      <c r="G118" s="167"/>
      <c r="H118" s="223">
        <f t="shared" si="330"/>
        <v>0</v>
      </c>
      <c r="I118" s="71"/>
      <c r="J118" s="167"/>
      <c r="K118" s="203">
        <f t="shared" si="336"/>
        <v>0</v>
      </c>
      <c r="L118" s="71"/>
      <c r="M118" s="167"/>
      <c r="N118" s="223">
        <f t="shared" si="338"/>
        <v>0</v>
      </c>
      <c r="O118" s="71"/>
      <c r="P118" s="161"/>
      <c r="Q118" s="161"/>
      <c r="R118" s="71"/>
      <c r="S118" s="167"/>
      <c r="T118" s="203">
        <f t="shared" si="340"/>
        <v>0</v>
      </c>
      <c r="U118" s="213"/>
      <c r="V118" s="199">
        <f t="shared" si="332"/>
        <v>0</v>
      </c>
      <c r="X118" s="71">
        <f>'Ανάλυση για νέους πελάτες'!D82</f>
        <v>4</v>
      </c>
      <c r="Y118" s="167">
        <f t="shared" ref="Y118:Y122" si="351">S118+X118</f>
        <v>4</v>
      </c>
      <c r="Z118" s="203">
        <f t="shared" ref="Z118:Z122" si="352">IFERROR((Y118-S118)/S118,0)</f>
        <v>0</v>
      </c>
      <c r="AA118" s="70">
        <f>'Ανάλυση για νέους πελάτες'!E82</f>
        <v>2</v>
      </c>
      <c r="AB118" s="167">
        <f t="shared" ref="AB118:AB122" si="353">Y118+AA118</f>
        <v>6</v>
      </c>
      <c r="AC118" s="223">
        <f t="shared" ref="AC118:AC122" si="354">IFERROR((AB118-Y118)/Y118,0)</f>
        <v>0.5</v>
      </c>
      <c r="AD118" s="71">
        <f>'Ανάλυση για νέους πελάτες'!F82</f>
        <v>3</v>
      </c>
      <c r="AE118" s="167">
        <f t="shared" ref="AE118:AE122" si="355">AB118+AD118</f>
        <v>9</v>
      </c>
      <c r="AF118" s="203">
        <f t="shared" ref="AF118:AF122" si="356">IFERROR((AE118-AB118)/AB118,0)</f>
        <v>0.5</v>
      </c>
      <c r="AG118" s="70">
        <f>'Ανάλυση για νέους πελάτες'!G82</f>
        <v>1</v>
      </c>
      <c r="AH118" s="167">
        <f t="shared" ref="AH118:AH122" si="357">AE118+AG118</f>
        <v>10</v>
      </c>
      <c r="AI118" s="223">
        <f t="shared" ref="AI118:AI122" si="358">IFERROR((AH118-AE118)/AE118,0)</f>
        <v>0.1111111111111111</v>
      </c>
      <c r="AJ118" s="71">
        <f>'Ανάλυση για νέους πελάτες'!H82</f>
        <v>0</v>
      </c>
      <c r="AK118" s="167">
        <f t="shared" ref="AK118:AK122" si="359">AH118+AJ118</f>
        <v>10</v>
      </c>
      <c r="AL118" s="203">
        <f t="shared" ref="AL118:AL122" si="360">IFERROR((AK118-AH118)/AH118,0)</f>
        <v>0</v>
      </c>
      <c r="AM118" s="198">
        <f t="shared" ref="AM118:AM122" si="361">X118+AA118+AD118+AG118+AJ118</f>
        <v>10</v>
      </c>
      <c r="AN118" s="199">
        <f t="shared" si="350"/>
        <v>0.25743342968293548</v>
      </c>
    </row>
    <row r="119" spans="2:40" ht="16.5" customHeight="1" outlineLevel="1" x14ac:dyDescent="0.25">
      <c r="B119" s="52" t="s">
        <v>304</v>
      </c>
      <c r="C119" s="64"/>
      <c r="D119" s="71"/>
      <c r="E119" s="71"/>
      <c r="F119" s="71"/>
      <c r="G119" s="167"/>
      <c r="H119" s="223">
        <f t="shared" si="330"/>
        <v>0</v>
      </c>
      <c r="I119" s="71"/>
      <c r="J119" s="167"/>
      <c r="K119" s="203">
        <f t="shared" si="336"/>
        <v>0</v>
      </c>
      <c r="L119" s="71"/>
      <c r="M119" s="167"/>
      <c r="N119" s="223">
        <f t="shared" si="338"/>
        <v>0</v>
      </c>
      <c r="O119" s="71"/>
      <c r="P119" s="161"/>
      <c r="Q119" s="161"/>
      <c r="R119" s="71"/>
      <c r="S119" s="167"/>
      <c r="T119" s="203">
        <f t="shared" si="340"/>
        <v>0</v>
      </c>
      <c r="U119" s="213"/>
      <c r="V119" s="199">
        <f t="shared" si="332"/>
        <v>0</v>
      </c>
      <c r="X119" s="71">
        <f>'Ανάλυση για νέους πελάτες'!D83</f>
        <v>6</v>
      </c>
      <c r="Y119" s="167">
        <f t="shared" si="351"/>
        <v>6</v>
      </c>
      <c r="Z119" s="203">
        <f t="shared" si="352"/>
        <v>0</v>
      </c>
      <c r="AA119" s="70">
        <f>'Ανάλυση για νέους πελάτες'!E83</f>
        <v>2</v>
      </c>
      <c r="AB119" s="167">
        <f t="shared" si="353"/>
        <v>8</v>
      </c>
      <c r="AC119" s="223">
        <f t="shared" si="354"/>
        <v>0.33333333333333331</v>
      </c>
      <c r="AD119" s="71">
        <f>'Ανάλυση για νέους πελάτες'!F83</f>
        <v>2</v>
      </c>
      <c r="AE119" s="167">
        <f t="shared" si="355"/>
        <v>10</v>
      </c>
      <c r="AF119" s="203">
        <f t="shared" si="356"/>
        <v>0.25</v>
      </c>
      <c r="AG119" s="70">
        <f>'Ανάλυση για νέους πελάτες'!G83</f>
        <v>1</v>
      </c>
      <c r="AH119" s="167">
        <f t="shared" si="357"/>
        <v>11</v>
      </c>
      <c r="AI119" s="223">
        <f t="shared" si="358"/>
        <v>0.1</v>
      </c>
      <c r="AJ119" s="71">
        <f>'Ανάλυση για νέους πελάτες'!H83</f>
        <v>0</v>
      </c>
      <c r="AK119" s="167">
        <f t="shared" si="359"/>
        <v>11</v>
      </c>
      <c r="AL119" s="203">
        <f t="shared" si="360"/>
        <v>0</v>
      </c>
      <c r="AM119" s="198">
        <f t="shared" si="361"/>
        <v>11</v>
      </c>
      <c r="AN119" s="199">
        <f t="shared" si="350"/>
        <v>0.16361780700222184</v>
      </c>
    </row>
    <row r="120" spans="2:40" ht="16.5" customHeight="1" outlineLevel="1" x14ac:dyDescent="0.25">
      <c r="B120" s="52" t="s">
        <v>305</v>
      </c>
      <c r="C120" s="64"/>
      <c r="D120" s="71"/>
      <c r="E120" s="71"/>
      <c r="F120" s="71"/>
      <c r="G120" s="167"/>
      <c r="H120" s="223">
        <f t="shared" si="330"/>
        <v>0</v>
      </c>
      <c r="I120" s="71"/>
      <c r="J120" s="167"/>
      <c r="K120" s="203">
        <f t="shared" si="336"/>
        <v>0</v>
      </c>
      <c r="L120" s="71"/>
      <c r="M120" s="167"/>
      <c r="N120" s="223">
        <f t="shared" si="338"/>
        <v>0</v>
      </c>
      <c r="O120" s="71"/>
      <c r="P120" s="161"/>
      <c r="Q120" s="161"/>
      <c r="R120" s="71"/>
      <c r="S120" s="167"/>
      <c r="T120" s="203">
        <f t="shared" si="340"/>
        <v>0</v>
      </c>
      <c r="U120" s="213"/>
      <c r="V120" s="199">
        <f t="shared" si="332"/>
        <v>0</v>
      </c>
      <c r="X120" s="71">
        <f>'Ανάλυση για νέους πελάτες'!D84</f>
        <v>5</v>
      </c>
      <c r="Y120" s="167">
        <f t="shared" si="351"/>
        <v>5</v>
      </c>
      <c r="Z120" s="203">
        <f t="shared" si="352"/>
        <v>0</v>
      </c>
      <c r="AA120" s="70">
        <f>'Ανάλυση για νέους πελάτες'!E84</f>
        <v>2</v>
      </c>
      <c r="AB120" s="167">
        <f t="shared" si="353"/>
        <v>7</v>
      </c>
      <c r="AC120" s="223">
        <f t="shared" si="354"/>
        <v>0.4</v>
      </c>
      <c r="AD120" s="71">
        <f>'Ανάλυση για νέους πελάτες'!F84</f>
        <v>2</v>
      </c>
      <c r="AE120" s="167">
        <f t="shared" si="355"/>
        <v>9</v>
      </c>
      <c r="AF120" s="203">
        <f t="shared" si="356"/>
        <v>0.2857142857142857</v>
      </c>
      <c r="AG120" s="70">
        <f>'Ανάλυση για νέους πελάτες'!G84</f>
        <v>1</v>
      </c>
      <c r="AH120" s="167">
        <f t="shared" si="357"/>
        <v>10</v>
      </c>
      <c r="AI120" s="223">
        <f t="shared" si="358"/>
        <v>0.1111111111111111</v>
      </c>
      <c r="AJ120" s="71">
        <f>'Ανάλυση για νέους πελάτες'!H84</f>
        <v>0</v>
      </c>
      <c r="AK120" s="167">
        <f t="shared" si="359"/>
        <v>10</v>
      </c>
      <c r="AL120" s="203">
        <f t="shared" si="360"/>
        <v>0</v>
      </c>
      <c r="AM120" s="198">
        <f t="shared" si="361"/>
        <v>10</v>
      </c>
      <c r="AN120" s="199">
        <f t="shared" si="350"/>
        <v>0.18920711500272103</v>
      </c>
    </row>
    <row r="121" spans="2:40" ht="16.5" customHeight="1" outlineLevel="1" x14ac:dyDescent="0.25">
      <c r="B121" s="52" t="s">
        <v>306</v>
      </c>
      <c r="C121" s="64"/>
      <c r="D121" s="71"/>
      <c r="E121" s="71"/>
      <c r="F121" s="71"/>
      <c r="G121" s="167"/>
      <c r="H121" s="223">
        <f t="shared" si="330"/>
        <v>0</v>
      </c>
      <c r="I121" s="71"/>
      <c r="J121" s="167"/>
      <c r="K121" s="203">
        <f t="shared" si="336"/>
        <v>0</v>
      </c>
      <c r="L121" s="71"/>
      <c r="M121" s="167"/>
      <c r="N121" s="223">
        <f t="shared" si="338"/>
        <v>0</v>
      </c>
      <c r="O121" s="71"/>
      <c r="P121" s="161"/>
      <c r="Q121" s="161"/>
      <c r="R121" s="71"/>
      <c r="S121" s="167"/>
      <c r="T121" s="203">
        <f t="shared" si="340"/>
        <v>0</v>
      </c>
      <c r="U121" s="213"/>
      <c r="V121" s="199">
        <f t="shared" si="332"/>
        <v>0</v>
      </c>
      <c r="X121" s="71">
        <f>'Ανάλυση για νέους πελάτες'!D85</f>
        <v>7</v>
      </c>
      <c r="Y121" s="167">
        <f t="shared" si="351"/>
        <v>7</v>
      </c>
      <c r="Z121" s="203">
        <f t="shared" si="352"/>
        <v>0</v>
      </c>
      <c r="AA121" s="70">
        <f>'Ανάλυση για νέους πελάτες'!E85</f>
        <v>5</v>
      </c>
      <c r="AB121" s="167">
        <f t="shared" si="353"/>
        <v>12</v>
      </c>
      <c r="AC121" s="223">
        <f t="shared" si="354"/>
        <v>0.7142857142857143</v>
      </c>
      <c r="AD121" s="71">
        <f>'Ανάλυση για νέους πελάτες'!F85</f>
        <v>4</v>
      </c>
      <c r="AE121" s="167">
        <f t="shared" si="355"/>
        <v>16</v>
      </c>
      <c r="AF121" s="203">
        <f t="shared" si="356"/>
        <v>0.33333333333333331</v>
      </c>
      <c r="AG121" s="70">
        <f>'Ανάλυση για νέους πελάτες'!G85</f>
        <v>5</v>
      </c>
      <c r="AH121" s="167">
        <f t="shared" si="357"/>
        <v>21</v>
      </c>
      <c r="AI121" s="223">
        <f t="shared" si="358"/>
        <v>0.3125</v>
      </c>
      <c r="AJ121" s="71">
        <f>'Ανάλυση για νέους πελάτες'!H85</f>
        <v>10</v>
      </c>
      <c r="AK121" s="167">
        <f t="shared" si="359"/>
        <v>31</v>
      </c>
      <c r="AL121" s="203">
        <f t="shared" si="360"/>
        <v>0.47619047619047616</v>
      </c>
      <c r="AM121" s="198">
        <f t="shared" si="361"/>
        <v>31</v>
      </c>
      <c r="AN121" s="199">
        <f t="shared" si="350"/>
        <v>0.45066092634929866</v>
      </c>
    </row>
    <row r="122" spans="2:40" ht="16.5" customHeight="1" outlineLevel="1" x14ac:dyDescent="0.25">
      <c r="B122" s="52" t="s">
        <v>308</v>
      </c>
      <c r="C122" s="64"/>
      <c r="D122" s="71"/>
      <c r="E122" s="71"/>
      <c r="F122" s="71"/>
      <c r="G122" s="167"/>
      <c r="H122" s="223">
        <f t="shared" si="330"/>
        <v>0</v>
      </c>
      <c r="I122" s="71"/>
      <c r="J122" s="167"/>
      <c r="K122" s="203">
        <f t="shared" si="336"/>
        <v>0</v>
      </c>
      <c r="L122" s="71"/>
      <c r="M122" s="167"/>
      <c r="N122" s="223">
        <f t="shared" si="338"/>
        <v>0</v>
      </c>
      <c r="O122" s="71"/>
      <c r="P122" s="161"/>
      <c r="Q122" s="161"/>
      <c r="R122" s="71"/>
      <c r="S122" s="167"/>
      <c r="T122" s="203">
        <f t="shared" si="340"/>
        <v>0</v>
      </c>
      <c r="U122" s="213"/>
      <c r="V122" s="199">
        <f t="shared" si="332"/>
        <v>0</v>
      </c>
      <c r="X122" s="71">
        <f>'Ανάλυση για νέους πελάτες'!D86</f>
        <v>9</v>
      </c>
      <c r="Y122" s="167">
        <f t="shared" si="351"/>
        <v>9</v>
      </c>
      <c r="Z122" s="203">
        <f t="shared" si="352"/>
        <v>0</v>
      </c>
      <c r="AA122" s="70">
        <f>'Ανάλυση για νέους πελάτες'!E86</f>
        <v>15</v>
      </c>
      <c r="AB122" s="167">
        <f t="shared" si="353"/>
        <v>24</v>
      </c>
      <c r="AC122" s="223">
        <f t="shared" si="354"/>
        <v>1.6666666666666667</v>
      </c>
      <c r="AD122" s="71">
        <f>'Ανάλυση για νέους πελάτες'!F86</f>
        <v>13</v>
      </c>
      <c r="AE122" s="167">
        <f t="shared" si="355"/>
        <v>37</v>
      </c>
      <c r="AF122" s="203">
        <f t="shared" si="356"/>
        <v>0.54166666666666663</v>
      </c>
      <c r="AG122" s="70">
        <f>'Ανάλυση για νέους πελάτες'!G86</f>
        <v>17</v>
      </c>
      <c r="AH122" s="167">
        <f t="shared" si="357"/>
        <v>54</v>
      </c>
      <c r="AI122" s="223">
        <f t="shared" si="358"/>
        <v>0.45945945945945948</v>
      </c>
      <c r="AJ122" s="71">
        <f>'Ανάλυση για νέους πελάτες'!H86</f>
        <v>10</v>
      </c>
      <c r="AK122" s="167">
        <f t="shared" si="359"/>
        <v>64</v>
      </c>
      <c r="AL122" s="203">
        <f t="shared" si="360"/>
        <v>0.18518518518518517</v>
      </c>
      <c r="AM122" s="198">
        <f t="shared" si="361"/>
        <v>64</v>
      </c>
      <c r="AN122" s="199">
        <f t="shared" si="350"/>
        <v>0.63299316185545207</v>
      </c>
    </row>
    <row r="123" spans="2:40" ht="16.5" customHeight="1" outlineLevel="1" x14ac:dyDescent="0.25">
      <c r="B123" s="52"/>
      <c r="C123" s="64"/>
      <c r="D123" s="71"/>
      <c r="E123" s="71"/>
      <c r="F123" s="71"/>
      <c r="G123" s="167"/>
      <c r="H123" s="223">
        <f t="shared" si="330"/>
        <v>0</v>
      </c>
      <c r="I123" s="71"/>
      <c r="J123" s="167"/>
      <c r="K123" s="203">
        <f t="shared" si="336"/>
        <v>0</v>
      </c>
      <c r="L123" s="71"/>
      <c r="M123" s="167"/>
      <c r="N123" s="223">
        <f t="shared" si="338"/>
        <v>0</v>
      </c>
      <c r="O123" s="71"/>
      <c r="P123" s="161"/>
      <c r="Q123" s="161"/>
      <c r="R123" s="71"/>
      <c r="S123" s="167"/>
      <c r="T123" s="203">
        <f t="shared" si="340"/>
        <v>0</v>
      </c>
      <c r="U123" s="213"/>
      <c r="V123" s="199">
        <f t="shared" si="332"/>
        <v>0</v>
      </c>
      <c r="X123" s="71"/>
      <c r="Y123" s="167"/>
      <c r="Z123" s="203">
        <f t="shared" si="334"/>
        <v>0</v>
      </c>
      <c r="AA123" s="70"/>
      <c r="AB123" s="167"/>
      <c r="AC123" s="223">
        <f t="shared" si="342"/>
        <v>0</v>
      </c>
      <c r="AD123" s="71"/>
      <c r="AE123" s="167"/>
      <c r="AF123" s="203">
        <f t="shared" si="344"/>
        <v>0</v>
      </c>
      <c r="AG123" s="70"/>
      <c r="AH123" s="167"/>
      <c r="AI123" s="223">
        <f t="shared" si="346"/>
        <v>0</v>
      </c>
      <c r="AJ123" s="71"/>
      <c r="AK123" s="167"/>
      <c r="AL123" s="203">
        <f t="shared" si="348"/>
        <v>0</v>
      </c>
      <c r="AM123" s="198"/>
      <c r="AN123" s="199">
        <f t="shared" si="350"/>
        <v>0</v>
      </c>
    </row>
    <row r="124" spans="2:40" ht="15" customHeight="1" outlineLevel="1" x14ac:dyDescent="0.25">
      <c r="B124" s="349" t="s">
        <v>90</v>
      </c>
      <c r="C124" s="350"/>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97"/>
    </row>
    <row r="125" spans="2:40" ht="15" customHeight="1" outlineLevel="1" x14ac:dyDescent="0.25">
      <c r="B125" s="52" t="s">
        <v>82</v>
      </c>
      <c r="C125" s="49" t="s">
        <v>22</v>
      </c>
      <c r="D125" s="207">
        <f>SUM(D109:D123)</f>
        <v>0</v>
      </c>
      <c r="E125" s="208">
        <f>SUM(E109:E123)</f>
        <v>0</v>
      </c>
      <c r="F125" s="225">
        <f>SUM(F109:F123)</f>
        <v>0</v>
      </c>
      <c r="G125" s="172">
        <f>SUM(G109:G123)</f>
        <v>0</v>
      </c>
      <c r="H125" s="224">
        <f>IFERROR((G125-E125)/E125,0)</f>
        <v>0</v>
      </c>
      <c r="I125" s="207">
        <f>SUM(I109:I123)</f>
        <v>0</v>
      </c>
      <c r="J125" s="172">
        <f>SUM(J109:J123)</f>
        <v>0</v>
      </c>
      <c r="K125" s="202">
        <f t="shared" ref="K125" si="362">IFERROR((J125-G125)/G125,0)</f>
        <v>0</v>
      </c>
      <c r="L125" s="225">
        <f>SUM(L109:L123)</f>
        <v>0</v>
      </c>
      <c r="M125" s="172">
        <f>SUM(M109:M123)</f>
        <v>0</v>
      </c>
      <c r="N125" s="224">
        <f t="shared" ref="N125" si="363">IFERROR((M125-J125)/J125,0)</f>
        <v>0</v>
      </c>
      <c r="O125" s="207">
        <f>SUM(O109:O123)</f>
        <v>0</v>
      </c>
      <c r="P125" s="161"/>
      <c r="Q125" s="161"/>
      <c r="R125" s="207">
        <f>SUM(R109:R123)</f>
        <v>0</v>
      </c>
      <c r="S125" s="172">
        <f>SUM(S109:S123)</f>
        <v>0</v>
      </c>
      <c r="T125" s="202">
        <f t="shared" ref="T125" si="364">IFERROR((S125-M125)/M125,0)</f>
        <v>0</v>
      </c>
      <c r="U125" s="215">
        <f>SUM(U109:U123)</f>
        <v>0</v>
      </c>
      <c r="V125" s="192">
        <f>IFERROR((S125/E125)^(1/4)-1,0)</f>
        <v>0</v>
      </c>
      <c r="X125" s="188">
        <f>SUM(X109:X123)</f>
        <v>160</v>
      </c>
      <c r="Y125" s="215">
        <f>SUM(Y109:Y123)</f>
        <v>160</v>
      </c>
      <c r="Z125" s="202">
        <f>IFERROR((Y125-S125)/S125,0)</f>
        <v>0</v>
      </c>
      <c r="AA125" s="188">
        <f>SUM(AA109:AA123)</f>
        <v>132</v>
      </c>
      <c r="AB125" s="215">
        <f>SUM(AB109:AB123)</f>
        <v>292</v>
      </c>
      <c r="AC125" s="217">
        <f>IFERROR((AB125-Y125)/Y125,0)</f>
        <v>0.82499999999999996</v>
      </c>
      <c r="AD125" s="188">
        <f>SUM(AD109:AD123)</f>
        <v>52</v>
      </c>
      <c r="AE125" s="215">
        <f>SUM(AE109:AE123)</f>
        <v>344</v>
      </c>
      <c r="AF125" s="216">
        <f>IFERROR((AE125-AB125)/AB125,0)</f>
        <v>0.17808219178082191</v>
      </c>
      <c r="AG125" s="188">
        <f>SUM(AG109:AG123)</f>
        <v>33</v>
      </c>
      <c r="AH125" s="215">
        <f>SUM(AH109:AH123)</f>
        <v>377</v>
      </c>
      <c r="AI125" s="217">
        <f>IFERROR((AH125-AE125)/AE125,0)</f>
        <v>9.5930232558139539E-2</v>
      </c>
      <c r="AJ125" s="188">
        <f>SUM(AJ109:AJ123)</f>
        <v>26</v>
      </c>
      <c r="AK125" s="215">
        <f>SUM(AK109:AK123)</f>
        <v>403</v>
      </c>
      <c r="AL125" s="191">
        <f>IFERROR((AK125-AH125)/AH125,0)</f>
        <v>6.8965517241379309E-2</v>
      </c>
      <c r="AM125" s="215">
        <f>SUM(AM109:AM123)</f>
        <v>403</v>
      </c>
      <c r="AN125" s="199">
        <f t="shared" ref="AN125" si="365">IFERROR((AK125/Y125)^(1/4)-1,0)</f>
        <v>0.2597845152288496</v>
      </c>
    </row>
    <row r="127" spans="2:40" ht="15.75" x14ac:dyDescent="0.25">
      <c r="B127" s="352" t="s">
        <v>13</v>
      </c>
      <c r="C127" s="352"/>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row>
    <row r="128" spans="2:40" ht="5.45" customHeight="1" outlineLevel="1" x14ac:dyDescent="0.2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row>
    <row r="129" spans="2:40" outlineLevel="1" x14ac:dyDescent="0.25">
      <c r="B129" s="393"/>
      <c r="C129" s="396" t="s">
        <v>20</v>
      </c>
      <c r="D129" s="372" t="s">
        <v>262</v>
      </c>
      <c r="E129" s="373"/>
      <c r="F129" s="373"/>
      <c r="G129" s="373"/>
      <c r="H129" s="373"/>
      <c r="I129" s="373"/>
      <c r="J129" s="373"/>
      <c r="K129" s="373"/>
      <c r="L129" s="373"/>
      <c r="M129" s="373"/>
      <c r="N129" s="373"/>
      <c r="O129" s="373"/>
      <c r="P129" s="373"/>
      <c r="Q129" s="374"/>
      <c r="R129" s="372" t="s">
        <v>260</v>
      </c>
      <c r="S129" s="373"/>
      <c r="T129" s="374"/>
      <c r="U129" s="388" t="str">
        <f xml:space="preserve"> D130&amp;" - "&amp;R130</f>
        <v>2018 - 2022</v>
      </c>
      <c r="V129" s="398"/>
      <c r="X129" s="372" t="s">
        <v>263</v>
      </c>
      <c r="Y129" s="373"/>
      <c r="Z129" s="373"/>
      <c r="AA129" s="373"/>
      <c r="AB129" s="373"/>
      <c r="AC129" s="373"/>
      <c r="AD129" s="373"/>
      <c r="AE129" s="373"/>
      <c r="AF129" s="373"/>
      <c r="AG129" s="373"/>
      <c r="AH129" s="373"/>
      <c r="AI129" s="373"/>
      <c r="AJ129" s="373"/>
      <c r="AK129" s="373"/>
      <c r="AL129" s="373"/>
      <c r="AM129" s="373"/>
      <c r="AN129" s="374"/>
    </row>
    <row r="130" spans="2:40" outlineLevel="1" x14ac:dyDescent="0.25">
      <c r="B130" s="394"/>
      <c r="C130" s="396"/>
      <c r="D130" s="372">
        <f>$C$3-5</f>
        <v>2018</v>
      </c>
      <c r="E130" s="374"/>
      <c r="F130" s="373">
        <f>$C$3-4</f>
        <v>2019</v>
      </c>
      <c r="G130" s="373"/>
      <c r="H130" s="373"/>
      <c r="I130" s="372">
        <f>$C$3-3</f>
        <v>2020</v>
      </c>
      <c r="J130" s="373"/>
      <c r="K130" s="374"/>
      <c r="L130" s="372">
        <f>$C$3-2</f>
        <v>2021</v>
      </c>
      <c r="M130" s="373"/>
      <c r="N130" s="374"/>
      <c r="O130" s="372" t="str">
        <f>$C$3-1&amp;""&amp;" ("&amp;"Σεπτ"&amp;")"</f>
        <v>2022 (Σεπτ)</v>
      </c>
      <c r="P130" s="373"/>
      <c r="Q130" s="374"/>
      <c r="R130" s="372">
        <f>$C$3-1</f>
        <v>2022</v>
      </c>
      <c r="S130" s="373"/>
      <c r="T130" s="374"/>
      <c r="U130" s="390"/>
      <c r="V130" s="399"/>
      <c r="X130" s="372">
        <f>$C$3</f>
        <v>2023</v>
      </c>
      <c r="Y130" s="373"/>
      <c r="Z130" s="374"/>
      <c r="AA130" s="373">
        <f>$C$3+1</f>
        <v>2024</v>
      </c>
      <c r="AB130" s="373"/>
      <c r="AC130" s="373"/>
      <c r="AD130" s="372">
        <f>$C$3+2</f>
        <v>2025</v>
      </c>
      <c r="AE130" s="373"/>
      <c r="AF130" s="374"/>
      <c r="AG130" s="373">
        <f>$C$3+3</f>
        <v>2026</v>
      </c>
      <c r="AH130" s="373"/>
      <c r="AI130" s="373"/>
      <c r="AJ130" s="372">
        <f>$C$3+4</f>
        <v>2027</v>
      </c>
      <c r="AK130" s="373"/>
      <c r="AL130" s="374"/>
      <c r="AM130" s="376" t="str">
        <f>X130&amp;" - "&amp;AJ130</f>
        <v>2023 - 2027</v>
      </c>
      <c r="AN130" s="392"/>
    </row>
    <row r="131" spans="2:40" ht="30" outlineLevel="1" x14ac:dyDescent="0.25">
      <c r="B131" s="395"/>
      <c r="C131" s="396"/>
      <c r="D131" s="67" t="s">
        <v>6</v>
      </c>
      <c r="E131" s="68" t="s">
        <v>7</v>
      </c>
      <c r="F131" s="78" t="s">
        <v>6</v>
      </c>
      <c r="G131" s="9" t="s">
        <v>7</v>
      </c>
      <c r="H131" s="68" t="s">
        <v>81</v>
      </c>
      <c r="I131" s="78" t="s">
        <v>6</v>
      </c>
      <c r="J131" s="9" t="s">
        <v>7</v>
      </c>
      <c r="K131" s="68" t="s">
        <v>81</v>
      </c>
      <c r="L131" s="78" t="s">
        <v>6</v>
      </c>
      <c r="M131" s="9" t="s">
        <v>7</v>
      </c>
      <c r="N131" s="68" t="s">
        <v>81</v>
      </c>
      <c r="O131" s="78" t="s">
        <v>6</v>
      </c>
      <c r="P131" s="9" t="s">
        <v>7</v>
      </c>
      <c r="Q131" s="68" t="s">
        <v>81</v>
      </c>
      <c r="R131" s="78" t="s">
        <v>6</v>
      </c>
      <c r="S131" s="9" t="s">
        <v>7</v>
      </c>
      <c r="T131" s="68" t="s">
        <v>81</v>
      </c>
      <c r="U131" s="67" t="s">
        <v>17</v>
      </c>
      <c r="V131" s="132" t="s">
        <v>83</v>
      </c>
      <c r="X131" s="67" t="s">
        <v>6</v>
      </c>
      <c r="Y131" s="9" t="s">
        <v>7</v>
      </c>
      <c r="Z131" s="68" t="s">
        <v>81</v>
      </c>
      <c r="AA131" s="78" t="s">
        <v>6</v>
      </c>
      <c r="AB131" s="9" t="s">
        <v>7</v>
      </c>
      <c r="AC131" s="68" t="s">
        <v>81</v>
      </c>
      <c r="AD131" s="78" t="s">
        <v>6</v>
      </c>
      <c r="AE131" s="9" t="s">
        <v>7</v>
      </c>
      <c r="AF131" s="68" t="s">
        <v>81</v>
      </c>
      <c r="AG131" s="78" t="s">
        <v>6</v>
      </c>
      <c r="AH131" s="9" t="s">
        <v>7</v>
      </c>
      <c r="AI131" s="68" t="s">
        <v>81</v>
      </c>
      <c r="AJ131" s="78" t="s">
        <v>6</v>
      </c>
      <c r="AK131" s="9" t="s">
        <v>7</v>
      </c>
      <c r="AL131" s="68" t="s">
        <v>81</v>
      </c>
      <c r="AM131" s="78" t="s">
        <v>17</v>
      </c>
      <c r="AN131" s="132" t="s">
        <v>83</v>
      </c>
    </row>
    <row r="132" spans="2:40" outlineLevel="1" x14ac:dyDescent="0.25">
      <c r="B132" s="281" t="s">
        <v>283</v>
      </c>
      <c r="C132" s="64" t="s">
        <v>22</v>
      </c>
      <c r="D132" s="71">
        <v>0</v>
      </c>
      <c r="E132" s="71">
        <v>0</v>
      </c>
      <c r="F132" s="71">
        <v>0</v>
      </c>
      <c r="G132" s="167">
        <f t="shared" ref="G132:G140" si="366">E132+F132</f>
        <v>0</v>
      </c>
      <c r="H132" s="223">
        <f t="shared" ref="H132:H146" si="367">IFERROR((G132-E132)/E132,0)</f>
        <v>0</v>
      </c>
      <c r="I132" s="71">
        <v>0</v>
      </c>
      <c r="J132" s="167">
        <f>G132+I132</f>
        <v>0</v>
      </c>
      <c r="K132" s="203">
        <f>IFERROR((J132-G132)/G132,0)</f>
        <v>0</v>
      </c>
      <c r="L132" s="71">
        <v>0</v>
      </c>
      <c r="M132" s="167">
        <f>J132+L132</f>
        <v>0</v>
      </c>
      <c r="N132" s="223">
        <f>IFERROR((M132-J132)/J132,0)</f>
        <v>0</v>
      </c>
      <c r="O132" s="71"/>
      <c r="P132" s="161"/>
      <c r="Q132" s="161"/>
      <c r="R132" s="71"/>
      <c r="S132" s="167">
        <f>M132+R132</f>
        <v>0</v>
      </c>
      <c r="T132" s="203">
        <f>IFERROR((S132-M132)/M132,0)</f>
        <v>0</v>
      </c>
      <c r="U132" s="213">
        <f t="shared" ref="U132:U140" si="368">D132+F132+I132+L132+R132</f>
        <v>0</v>
      </c>
      <c r="V132" s="199">
        <f t="shared" ref="V132:V146" si="369">IFERROR((S132/E132)^(1/4)-1,0)</f>
        <v>0</v>
      </c>
      <c r="X132" s="71">
        <f>'Ανάλυση για νέους πελάτες'!D93</f>
        <v>0</v>
      </c>
      <c r="Y132" s="167">
        <f t="shared" ref="Y132:Y139" si="370">S132+X132</f>
        <v>0</v>
      </c>
      <c r="Z132" s="203">
        <f t="shared" ref="Z132:Z146" si="371">IFERROR((Y132-S132)/S132,0)</f>
        <v>0</v>
      </c>
      <c r="AA132" s="70">
        <f>'Ανάλυση για νέους πελάτες'!E93</f>
        <v>0</v>
      </c>
      <c r="AB132" s="167">
        <f>Y132+AA132</f>
        <v>0</v>
      </c>
      <c r="AC132" s="223">
        <f>IFERROR((AB132-Y132)/Y132,0)</f>
        <v>0</v>
      </c>
      <c r="AD132" s="70">
        <f>'Ανάλυση για νέους πελάτες'!F93</f>
        <v>0</v>
      </c>
      <c r="AE132" s="167">
        <f>AB132+AD132</f>
        <v>0</v>
      </c>
      <c r="AF132" s="203">
        <f>IFERROR((AE132-AB132)/AB132,0)</f>
        <v>0</v>
      </c>
      <c r="AG132" s="70">
        <f>'Ανάλυση για νέους πελάτες'!G93</f>
        <v>0</v>
      </c>
      <c r="AH132" s="167">
        <f>AE132+AG132</f>
        <v>0</v>
      </c>
      <c r="AI132" s="223">
        <f>IFERROR((AH132-AE132)/AE132,0)</f>
        <v>0</v>
      </c>
      <c r="AJ132" s="70">
        <f>'Ανάλυση για νέους πελάτες'!H93</f>
        <v>0</v>
      </c>
      <c r="AK132" s="167">
        <f>AH132+AJ132</f>
        <v>0</v>
      </c>
      <c r="AL132" s="203">
        <f>IFERROR((AK132-AH132)/AH132,0)</f>
        <v>0</v>
      </c>
      <c r="AM132" s="198">
        <f>X132+AA132+AD132+AG132+AJ132</f>
        <v>0</v>
      </c>
      <c r="AN132" s="199">
        <f>IFERROR((AK132/Y132)^(1/4)-1,0)</f>
        <v>0</v>
      </c>
    </row>
    <row r="133" spans="2:40" outlineLevel="1" x14ac:dyDescent="0.25">
      <c r="B133" s="52" t="s">
        <v>284</v>
      </c>
      <c r="C133" s="64" t="s">
        <v>22</v>
      </c>
      <c r="D133" s="71">
        <v>0</v>
      </c>
      <c r="E133" s="71">
        <v>0</v>
      </c>
      <c r="F133" s="71">
        <v>0</v>
      </c>
      <c r="G133" s="167">
        <f t="shared" si="366"/>
        <v>0</v>
      </c>
      <c r="H133" s="223">
        <f t="shared" si="367"/>
        <v>0</v>
      </c>
      <c r="I133" s="71">
        <v>0</v>
      </c>
      <c r="J133" s="167">
        <f t="shared" ref="J133:J140" si="372">G133+I133</f>
        <v>0</v>
      </c>
      <c r="K133" s="203">
        <f t="shared" ref="K133:K146" si="373">IFERROR((J133-G133)/G133,0)</f>
        <v>0</v>
      </c>
      <c r="L133" s="71">
        <v>0</v>
      </c>
      <c r="M133" s="167">
        <f t="shared" ref="M133:M140" si="374">J133+L133</f>
        <v>0</v>
      </c>
      <c r="N133" s="223">
        <f t="shared" ref="N133:N146" si="375">IFERROR((M133-J133)/J133,0)</f>
        <v>0</v>
      </c>
      <c r="O133" s="71"/>
      <c r="P133" s="161"/>
      <c r="Q133" s="161"/>
      <c r="R133" s="71"/>
      <c r="S133" s="167">
        <f t="shared" ref="S133:S140" si="376">M133+R133</f>
        <v>0</v>
      </c>
      <c r="T133" s="203">
        <f t="shared" ref="T133:T146" si="377">IFERROR((S133-M133)/M133,0)</f>
        <v>0</v>
      </c>
      <c r="U133" s="213">
        <f t="shared" si="368"/>
        <v>0</v>
      </c>
      <c r="V133" s="199">
        <f t="shared" si="369"/>
        <v>0</v>
      </c>
      <c r="X133" s="71">
        <f>'Ανάλυση για νέους πελάτες'!D94</f>
        <v>0</v>
      </c>
      <c r="Y133" s="167">
        <f t="shared" si="370"/>
        <v>0</v>
      </c>
      <c r="Z133" s="203">
        <f t="shared" si="371"/>
        <v>0</v>
      </c>
      <c r="AA133" s="70">
        <f>'Ανάλυση για νέους πελάτες'!E94</f>
        <v>0</v>
      </c>
      <c r="AB133" s="167">
        <f t="shared" ref="AB133:AB139" si="378">Y133+AA133</f>
        <v>0</v>
      </c>
      <c r="AC133" s="223">
        <f t="shared" ref="AC133:AC146" si="379">IFERROR((AB133-Y133)/Y133,0)</f>
        <v>0</v>
      </c>
      <c r="AD133" s="70">
        <f>'Ανάλυση για νέους πελάτες'!F94</f>
        <v>0</v>
      </c>
      <c r="AE133" s="167">
        <f t="shared" ref="AE133:AE139" si="380">AB133+AD133</f>
        <v>0</v>
      </c>
      <c r="AF133" s="203">
        <f t="shared" ref="AF133:AF146" si="381">IFERROR((AE133-AB133)/AB133,0)</f>
        <v>0</v>
      </c>
      <c r="AG133" s="70">
        <f>'Ανάλυση για νέους πελάτες'!G94</f>
        <v>0</v>
      </c>
      <c r="AH133" s="167">
        <f t="shared" ref="AH133:AH139" si="382">AE133+AG133</f>
        <v>0</v>
      </c>
      <c r="AI133" s="223">
        <f t="shared" ref="AI133:AI146" si="383">IFERROR((AH133-AE133)/AE133,0)</f>
        <v>0</v>
      </c>
      <c r="AJ133" s="70">
        <f>'Ανάλυση για νέους πελάτες'!H94</f>
        <v>0</v>
      </c>
      <c r="AK133" s="167">
        <f t="shared" ref="AK133:AK139" si="384">AH133+AJ133</f>
        <v>0</v>
      </c>
      <c r="AL133" s="203">
        <f t="shared" ref="AL133:AL146" si="385">IFERROR((AK133-AH133)/AH133,0)</f>
        <v>0</v>
      </c>
      <c r="AM133" s="198">
        <f t="shared" ref="AM133:AM139" si="386">X133+AA133+AD133+AG133+AJ133</f>
        <v>0</v>
      </c>
      <c r="AN133" s="199">
        <f t="shared" ref="AN133:AN146" si="387">IFERROR((AK133/Y133)^(1/4)-1,0)</f>
        <v>0</v>
      </c>
    </row>
    <row r="134" spans="2:40" outlineLevel="1" x14ac:dyDescent="0.25">
      <c r="B134" s="52" t="s">
        <v>285</v>
      </c>
      <c r="C134" s="64" t="s">
        <v>22</v>
      </c>
      <c r="D134" s="71">
        <v>0</v>
      </c>
      <c r="E134" s="71">
        <v>0</v>
      </c>
      <c r="F134" s="71">
        <v>0</v>
      </c>
      <c r="G134" s="167">
        <f t="shared" si="366"/>
        <v>0</v>
      </c>
      <c r="H134" s="223">
        <f t="shared" si="367"/>
        <v>0</v>
      </c>
      <c r="I134" s="71">
        <v>0</v>
      </c>
      <c r="J134" s="167">
        <f t="shared" si="372"/>
        <v>0</v>
      </c>
      <c r="K134" s="203">
        <f t="shared" si="373"/>
        <v>0</v>
      </c>
      <c r="L134" s="71">
        <v>0</v>
      </c>
      <c r="M134" s="167">
        <f t="shared" si="374"/>
        <v>0</v>
      </c>
      <c r="N134" s="223">
        <f t="shared" si="375"/>
        <v>0</v>
      </c>
      <c r="O134" s="71"/>
      <c r="P134" s="161"/>
      <c r="Q134" s="161"/>
      <c r="R134" s="71"/>
      <c r="S134" s="167">
        <f t="shared" si="376"/>
        <v>0</v>
      </c>
      <c r="T134" s="203">
        <f t="shared" si="377"/>
        <v>0</v>
      </c>
      <c r="U134" s="213">
        <f t="shared" si="368"/>
        <v>0</v>
      </c>
      <c r="V134" s="199">
        <f t="shared" si="369"/>
        <v>0</v>
      </c>
      <c r="X134" s="71">
        <f>'Ανάλυση για νέους πελάτες'!D95</f>
        <v>0</v>
      </c>
      <c r="Y134" s="167">
        <f t="shared" si="370"/>
        <v>0</v>
      </c>
      <c r="Z134" s="203">
        <f t="shared" si="371"/>
        <v>0</v>
      </c>
      <c r="AA134" s="70">
        <f>'Ανάλυση για νέους πελάτες'!E95</f>
        <v>0</v>
      </c>
      <c r="AB134" s="167">
        <f t="shared" si="378"/>
        <v>0</v>
      </c>
      <c r="AC134" s="223">
        <f t="shared" si="379"/>
        <v>0</v>
      </c>
      <c r="AD134" s="70">
        <f>'Ανάλυση για νέους πελάτες'!F95</f>
        <v>0</v>
      </c>
      <c r="AE134" s="167">
        <f t="shared" si="380"/>
        <v>0</v>
      </c>
      <c r="AF134" s="203">
        <f t="shared" si="381"/>
        <v>0</v>
      </c>
      <c r="AG134" s="70">
        <f>'Ανάλυση για νέους πελάτες'!G95</f>
        <v>0</v>
      </c>
      <c r="AH134" s="167">
        <f t="shared" si="382"/>
        <v>0</v>
      </c>
      <c r="AI134" s="223">
        <f t="shared" si="383"/>
        <v>0</v>
      </c>
      <c r="AJ134" s="70">
        <f>'Ανάλυση για νέους πελάτες'!H95</f>
        <v>0</v>
      </c>
      <c r="AK134" s="167">
        <f t="shared" si="384"/>
        <v>0</v>
      </c>
      <c r="AL134" s="203">
        <f t="shared" si="385"/>
        <v>0</v>
      </c>
      <c r="AM134" s="198">
        <f t="shared" si="386"/>
        <v>0</v>
      </c>
      <c r="AN134" s="199">
        <f t="shared" si="387"/>
        <v>0</v>
      </c>
    </row>
    <row r="135" spans="2:40" ht="16.5" customHeight="1" outlineLevel="1" x14ac:dyDescent="0.25">
      <c r="B135" s="52" t="s">
        <v>286</v>
      </c>
      <c r="C135" s="64" t="s">
        <v>22</v>
      </c>
      <c r="D135" s="71">
        <v>0</v>
      </c>
      <c r="E135" s="71">
        <v>0</v>
      </c>
      <c r="F135" s="71">
        <v>0</v>
      </c>
      <c r="G135" s="167">
        <f t="shared" si="366"/>
        <v>0</v>
      </c>
      <c r="H135" s="223">
        <f t="shared" si="367"/>
        <v>0</v>
      </c>
      <c r="I135" s="71">
        <v>0</v>
      </c>
      <c r="J135" s="167">
        <f t="shared" si="372"/>
        <v>0</v>
      </c>
      <c r="K135" s="203">
        <f t="shared" si="373"/>
        <v>0</v>
      </c>
      <c r="L135" s="71">
        <v>0</v>
      </c>
      <c r="M135" s="167">
        <f t="shared" si="374"/>
        <v>0</v>
      </c>
      <c r="N135" s="223">
        <f t="shared" si="375"/>
        <v>0</v>
      </c>
      <c r="O135" s="71"/>
      <c r="P135" s="161"/>
      <c r="Q135" s="161"/>
      <c r="R135" s="71"/>
      <c r="S135" s="167">
        <f t="shared" si="376"/>
        <v>0</v>
      </c>
      <c r="T135" s="203">
        <f t="shared" si="377"/>
        <v>0</v>
      </c>
      <c r="U135" s="213">
        <f t="shared" si="368"/>
        <v>0</v>
      </c>
      <c r="V135" s="199">
        <f t="shared" si="369"/>
        <v>0</v>
      </c>
      <c r="X135" s="71">
        <f>'Ανάλυση για νέους πελάτες'!D96</f>
        <v>0</v>
      </c>
      <c r="Y135" s="167">
        <f t="shared" si="370"/>
        <v>0</v>
      </c>
      <c r="Z135" s="203">
        <f t="shared" si="371"/>
        <v>0</v>
      </c>
      <c r="AA135" s="70">
        <f>'Ανάλυση για νέους πελάτες'!E96</f>
        <v>2</v>
      </c>
      <c r="AB135" s="167">
        <f t="shared" si="378"/>
        <v>2</v>
      </c>
      <c r="AC135" s="223">
        <f t="shared" si="379"/>
        <v>0</v>
      </c>
      <c r="AD135" s="70">
        <f>'Ανάλυση για νέους πελάτες'!F96</f>
        <v>2</v>
      </c>
      <c r="AE135" s="167">
        <f t="shared" si="380"/>
        <v>4</v>
      </c>
      <c r="AF135" s="203">
        <f t="shared" si="381"/>
        <v>1</v>
      </c>
      <c r="AG135" s="70">
        <f>'Ανάλυση για νέους πελάτες'!G96</f>
        <v>3</v>
      </c>
      <c r="AH135" s="167">
        <f t="shared" si="382"/>
        <v>7</v>
      </c>
      <c r="AI135" s="223">
        <f t="shared" si="383"/>
        <v>0.75</v>
      </c>
      <c r="AJ135" s="70">
        <f>'Ανάλυση για νέους πελάτες'!H96</f>
        <v>1</v>
      </c>
      <c r="AK135" s="167">
        <f t="shared" si="384"/>
        <v>8</v>
      </c>
      <c r="AL135" s="203">
        <f t="shared" si="385"/>
        <v>0.14285714285714285</v>
      </c>
      <c r="AM135" s="198">
        <f t="shared" si="386"/>
        <v>8</v>
      </c>
      <c r="AN135" s="199">
        <f t="shared" si="387"/>
        <v>0</v>
      </c>
    </row>
    <row r="136" spans="2:40" ht="16.5" customHeight="1" outlineLevel="1" x14ac:dyDescent="0.25">
      <c r="B136" s="52" t="s">
        <v>287</v>
      </c>
      <c r="C136" s="64" t="s">
        <v>22</v>
      </c>
      <c r="D136" s="71">
        <v>0</v>
      </c>
      <c r="E136" s="71">
        <v>0</v>
      </c>
      <c r="F136" s="71">
        <v>0</v>
      </c>
      <c r="G136" s="167">
        <f t="shared" si="366"/>
        <v>0</v>
      </c>
      <c r="H136" s="223">
        <f t="shared" si="367"/>
        <v>0</v>
      </c>
      <c r="I136" s="71">
        <v>0</v>
      </c>
      <c r="J136" s="167">
        <f t="shared" si="372"/>
        <v>0</v>
      </c>
      <c r="K136" s="203">
        <f t="shared" si="373"/>
        <v>0</v>
      </c>
      <c r="L136" s="71">
        <v>0</v>
      </c>
      <c r="M136" s="167">
        <f t="shared" si="374"/>
        <v>0</v>
      </c>
      <c r="N136" s="223">
        <f t="shared" si="375"/>
        <v>0</v>
      </c>
      <c r="O136" s="71"/>
      <c r="P136" s="161"/>
      <c r="Q136" s="161"/>
      <c r="R136" s="71"/>
      <c r="S136" s="167">
        <f t="shared" si="376"/>
        <v>0</v>
      </c>
      <c r="T136" s="203">
        <f t="shared" si="377"/>
        <v>0</v>
      </c>
      <c r="U136" s="213">
        <f t="shared" si="368"/>
        <v>0</v>
      </c>
      <c r="V136" s="199">
        <f t="shared" si="369"/>
        <v>0</v>
      </c>
      <c r="X136" s="71">
        <f>'Ανάλυση για νέους πελάτες'!D97</f>
        <v>0</v>
      </c>
      <c r="Y136" s="167">
        <f t="shared" si="370"/>
        <v>0</v>
      </c>
      <c r="Z136" s="203">
        <f t="shared" si="371"/>
        <v>0</v>
      </c>
      <c r="AA136" s="70">
        <f>'Ανάλυση για νέους πελάτες'!E97</f>
        <v>4</v>
      </c>
      <c r="AB136" s="167">
        <f t="shared" si="378"/>
        <v>4</v>
      </c>
      <c r="AC136" s="223">
        <f t="shared" si="379"/>
        <v>0</v>
      </c>
      <c r="AD136" s="70">
        <f>'Ανάλυση για νέους πελάτες'!F97</f>
        <v>2</v>
      </c>
      <c r="AE136" s="167">
        <f t="shared" si="380"/>
        <v>6</v>
      </c>
      <c r="AF136" s="203">
        <f t="shared" si="381"/>
        <v>0.5</v>
      </c>
      <c r="AG136" s="70">
        <f>'Ανάλυση για νέους πελάτες'!G97</f>
        <v>1</v>
      </c>
      <c r="AH136" s="167">
        <f t="shared" si="382"/>
        <v>7</v>
      </c>
      <c r="AI136" s="223">
        <f t="shared" si="383"/>
        <v>0.16666666666666666</v>
      </c>
      <c r="AJ136" s="70">
        <f>'Ανάλυση για νέους πελάτες'!H97</f>
        <v>1</v>
      </c>
      <c r="AK136" s="167">
        <f t="shared" si="384"/>
        <v>8</v>
      </c>
      <c r="AL136" s="203">
        <f t="shared" si="385"/>
        <v>0.14285714285714285</v>
      </c>
      <c r="AM136" s="198">
        <f t="shared" si="386"/>
        <v>8</v>
      </c>
      <c r="AN136" s="199">
        <f t="shared" si="387"/>
        <v>0</v>
      </c>
    </row>
    <row r="137" spans="2:40" ht="16.5" customHeight="1" outlineLevel="1" x14ac:dyDescent="0.25">
      <c r="B137" s="52" t="s">
        <v>288</v>
      </c>
      <c r="C137" s="64" t="s">
        <v>22</v>
      </c>
      <c r="D137" s="71">
        <v>0</v>
      </c>
      <c r="E137" s="71">
        <v>0</v>
      </c>
      <c r="F137" s="71">
        <v>0</v>
      </c>
      <c r="G137" s="167">
        <f t="shared" si="366"/>
        <v>0</v>
      </c>
      <c r="H137" s="223">
        <f t="shared" si="367"/>
        <v>0</v>
      </c>
      <c r="I137" s="71">
        <v>0</v>
      </c>
      <c r="J137" s="167">
        <f t="shared" si="372"/>
        <v>0</v>
      </c>
      <c r="K137" s="203">
        <f t="shared" si="373"/>
        <v>0</v>
      </c>
      <c r="L137" s="71">
        <v>0</v>
      </c>
      <c r="M137" s="167">
        <f t="shared" si="374"/>
        <v>0</v>
      </c>
      <c r="N137" s="223">
        <f t="shared" si="375"/>
        <v>0</v>
      </c>
      <c r="O137" s="71"/>
      <c r="P137" s="161"/>
      <c r="Q137" s="161"/>
      <c r="R137" s="71"/>
      <c r="S137" s="167">
        <f t="shared" si="376"/>
        <v>0</v>
      </c>
      <c r="T137" s="203">
        <f t="shared" si="377"/>
        <v>0</v>
      </c>
      <c r="U137" s="213">
        <f t="shared" si="368"/>
        <v>0</v>
      </c>
      <c r="V137" s="199">
        <f t="shared" si="369"/>
        <v>0</v>
      </c>
      <c r="X137" s="71">
        <f>'Ανάλυση για νέους πελάτες'!D98</f>
        <v>1</v>
      </c>
      <c r="Y137" s="167">
        <f t="shared" si="370"/>
        <v>1</v>
      </c>
      <c r="Z137" s="203">
        <f t="shared" si="371"/>
        <v>0</v>
      </c>
      <c r="AA137" s="70">
        <f>'Ανάλυση για νέους πελάτες'!E98</f>
        <v>2</v>
      </c>
      <c r="AB137" s="167">
        <f t="shared" si="378"/>
        <v>3</v>
      </c>
      <c r="AC137" s="223">
        <f t="shared" si="379"/>
        <v>2</v>
      </c>
      <c r="AD137" s="70">
        <f>'Ανάλυση για νέους πελάτες'!F98</f>
        <v>2</v>
      </c>
      <c r="AE137" s="167">
        <f t="shared" si="380"/>
        <v>5</v>
      </c>
      <c r="AF137" s="203">
        <f t="shared" si="381"/>
        <v>0.66666666666666663</v>
      </c>
      <c r="AG137" s="70">
        <f>'Ανάλυση για νέους πελάτες'!G98</f>
        <v>1</v>
      </c>
      <c r="AH137" s="167">
        <f t="shared" si="382"/>
        <v>6</v>
      </c>
      <c r="AI137" s="223">
        <f t="shared" si="383"/>
        <v>0.2</v>
      </c>
      <c r="AJ137" s="70">
        <f>'Ανάλυση για νέους πελάτες'!H98</f>
        <v>0</v>
      </c>
      <c r="AK137" s="167">
        <f t="shared" si="384"/>
        <v>6</v>
      </c>
      <c r="AL137" s="203">
        <f t="shared" si="385"/>
        <v>0</v>
      </c>
      <c r="AM137" s="198">
        <f t="shared" si="386"/>
        <v>6</v>
      </c>
      <c r="AN137" s="199">
        <f t="shared" si="387"/>
        <v>0.56508458007328732</v>
      </c>
    </row>
    <row r="138" spans="2:40" ht="16.5" customHeight="1" outlineLevel="1" x14ac:dyDescent="0.25">
      <c r="B138" s="52" t="s">
        <v>289</v>
      </c>
      <c r="C138" s="64" t="s">
        <v>22</v>
      </c>
      <c r="D138" s="71">
        <v>0</v>
      </c>
      <c r="E138" s="71">
        <v>0</v>
      </c>
      <c r="F138" s="71">
        <v>0</v>
      </c>
      <c r="G138" s="167">
        <f t="shared" si="366"/>
        <v>0</v>
      </c>
      <c r="H138" s="223">
        <f t="shared" si="367"/>
        <v>0</v>
      </c>
      <c r="I138" s="71">
        <v>0</v>
      </c>
      <c r="J138" s="167">
        <f t="shared" si="372"/>
        <v>0</v>
      </c>
      <c r="K138" s="203">
        <f t="shared" si="373"/>
        <v>0</v>
      </c>
      <c r="L138" s="71">
        <v>0</v>
      </c>
      <c r="M138" s="167">
        <f t="shared" si="374"/>
        <v>0</v>
      </c>
      <c r="N138" s="223">
        <f t="shared" si="375"/>
        <v>0</v>
      </c>
      <c r="O138" s="71"/>
      <c r="P138" s="161"/>
      <c r="Q138" s="161"/>
      <c r="R138" s="71"/>
      <c r="S138" s="167">
        <f t="shared" si="376"/>
        <v>0</v>
      </c>
      <c r="T138" s="203">
        <f t="shared" si="377"/>
        <v>0</v>
      </c>
      <c r="U138" s="213">
        <f t="shared" si="368"/>
        <v>0</v>
      </c>
      <c r="V138" s="199">
        <f t="shared" si="369"/>
        <v>0</v>
      </c>
      <c r="X138" s="71">
        <f>'Ανάλυση για νέους πελάτες'!D99</f>
        <v>1</v>
      </c>
      <c r="Y138" s="167">
        <f t="shared" si="370"/>
        <v>1</v>
      </c>
      <c r="Z138" s="203">
        <f t="shared" si="371"/>
        <v>0</v>
      </c>
      <c r="AA138" s="70">
        <f>'Ανάλυση για νέους πελάτες'!E99</f>
        <v>2</v>
      </c>
      <c r="AB138" s="167">
        <f t="shared" si="378"/>
        <v>3</v>
      </c>
      <c r="AC138" s="223">
        <f t="shared" si="379"/>
        <v>2</v>
      </c>
      <c r="AD138" s="70">
        <f>'Ανάλυση για νέους πελάτες'!F99</f>
        <v>2</v>
      </c>
      <c r="AE138" s="167">
        <f t="shared" si="380"/>
        <v>5</v>
      </c>
      <c r="AF138" s="203">
        <f t="shared" si="381"/>
        <v>0.66666666666666663</v>
      </c>
      <c r="AG138" s="70">
        <f>'Ανάλυση για νέους πελάτες'!G99</f>
        <v>1</v>
      </c>
      <c r="AH138" s="167">
        <f t="shared" si="382"/>
        <v>6</v>
      </c>
      <c r="AI138" s="223">
        <f t="shared" si="383"/>
        <v>0.2</v>
      </c>
      <c r="AJ138" s="70">
        <f>'Ανάλυση για νέους πελάτες'!H99</f>
        <v>1</v>
      </c>
      <c r="AK138" s="167">
        <f t="shared" si="384"/>
        <v>7</v>
      </c>
      <c r="AL138" s="203">
        <f t="shared" si="385"/>
        <v>0.16666666666666666</v>
      </c>
      <c r="AM138" s="198">
        <f t="shared" si="386"/>
        <v>7</v>
      </c>
      <c r="AN138" s="199">
        <f t="shared" si="387"/>
        <v>0.62657656169778564</v>
      </c>
    </row>
    <row r="139" spans="2:40" ht="16.5" customHeight="1" outlineLevel="1" x14ac:dyDescent="0.25">
      <c r="B139" s="52" t="s">
        <v>290</v>
      </c>
      <c r="C139" s="64" t="s">
        <v>22</v>
      </c>
      <c r="D139" s="71">
        <v>0</v>
      </c>
      <c r="E139" s="71">
        <v>0</v>
      </c>
      <c r="F139" s="71">
        <v>0</v>
      </c>
      <c r="G139" s="167">
        <f t="shared" si="366"/>
        <v>0</v>
      </c>
      <c r="H139" s="223">
        <f t="shared" si="367"/>
        <v>0</v>
      </c>
      <c r="I139" s="71">
        <v>0</v>
      </c>
      <c r="J139" s="167">
        <f t="shared" si="372"/>
        <v>0</v>
      </c>
      <c r="K139" s="203">
        <f t="shared" si="373"/>
        <v>0</v>
      </c>
      <c r="L139" s="71">
        <v>0</v>
      </c>
      <c r="M139" s="167">
        <f t="shared" si="374"/>
        <v>0</v>
      </c>
      <c r="N139" s="223">
        <f t="shared" si="375"/>
        <v>0</v>
      </c>
      <c r="O139" s="71"/>
      <c r="P139" s="161"/>
      <c r="Q139" s="161"/>
      <c r="R139" s="71"/>
      <c r="S139" s="167">
        <f t="shared" si="376"/>
        <v>0</v>
      </c>
      <c r="T139" s="203">
        <f t="shared" si="377"/>
        <v>0</v>
      </c>
      <c r="U139" s="213">
        <f t="shared" si="368"/>
        <v>0</v>
      </c>
      <c r="V139" s="199">
        <f t="shared" si="369"/>
        <v>0</v>
      </c>
      <c r="X139" s="71">
        <f>'Ανάλυση για νέους πελάτες'!D100</f>
        <v>0</v>
      </c>
      <c r="Y139" s="167">
        <f t="shared" si="370"/>
        <v>0</v>
      </c>
      <c r="Z139" s="203">
        <f t="shared" si="371"/>
        <v>0</v>
      </c>
      <c r="AA139" s="70">
        <f>'Ανάλυση για νέους πελάτες'!E100</f>
        <v>3</v>
      </c>
      <c r="AB139" s="167">
        <f t="shared" si="378"/>
        <v>3</v>
      </c>
      <c r="AC139" s="223">
        <f t="shared" si="379"/>
        <v>0</v>
      </c>
      <c r="AD139" s="70">
        <f>'Ανάλυση για νέους πελάτες'!F100</f>
        <v>3</v>
      </c>
      <c r="AE139" s="167">
        <f t="shared" si="380"/>
        <v>6</v>
      </c>
      <c r="AF139" s="203">
        <f t="shared" si="381"/>
        <v>1</v>
      </c>
      <c r="AG139" s="70">
        <f>'Ανάλυση για νέους πελάτες'!G100</f>
        <v>3</v>
      </c>
      <c r="AH139" s="167">
        <f t="shared" si="382"/>
        <v>9</v>
      </c>
      <c r="AI139" s="223">
        <f t="shared" si="383"/>
        <v>0.5</v>
      </c>
      <c r="AJ139" s="70">
        <f>'Ανάλυση για νέους πελάτες'!H100</f>
        <v>1</v>
      </c>
      <c r="AK139" s="167">
        <f t="shared" si="384"/>
        <v>10</v>
      </c>
      <c r="AL139" s="203">
        <f t="shared" si="385"/>
        <v>0.1111111111111111</v>
      </c>
      <c r="AM139" s="198">
        <f t="shared" si="386"/>
        <v>10</v>
      </c>
      <c r="AN139" s="199">
        <f t="shared" si="387"/>
        <v>0</v>
      </c>
    </row>
    <row r="140" spans="2:40" ht="16.5" customHeight="1" outlineLevel="1" x14ac:dyDescent="0.25">
      <c r="B140" s="52" t="s">
        <v>291</v>
      </c>
      <c r="C140" s="64" t="s">
        <v>22</v>
      </c>
      <c r="D140" s="71">
        <v>0</v>
      </c>
      <c r="E140" s="71">
        <v>0</v>
      </c>
      <c r="F140" s="71">
        <v>0</v>
      </c>
      <c r="G140" s="167">
        <f t="shared" si="366"/>
        <v>0</v>
      </c>
      <c r="H140" s="223">
        <f t="shared" si="367"/>
        <v>0</v>
      </c>
      <c r="I140" s="71">
        <v>0</v>
      </c>
      <c r="J140" s="167">
        <f t="shared" si="372"/>
        <v>0</v>
      </c>
      <c r="K140" s="203">
        <f t="shared" si="373"/>
        <v>0</v>
      </c>
      <c r="L140" s="71">
        <v>0</v>
      </c>
      <c r="M140" s="167">
        <f t="shared" si="374"/>
        <v>0</v>
      </c>
      <c r="N140" s="223">
        <f t="shared" si="375"/>
        <v>0</v>
      </c>
      <c r="O140" s="71"/>
      <c r="P140" s="161"/>
      <c r="Q140" s="161"/>
      <c r="R140" s="71"/>
      <c r="S140" s="167">
        <f t="shared" si="376"/>
        <v>0</v>
      </c>
      <c r="T140" s="203">
        <f t="shared" si="377"/>
        <v>0</v>
      </c>
      <c r="U140" s="213">
        <f t="shared" si="368"/>
        <v>0</v>
      </c>
      <c r="V140" s="199">
        <f t="shared" si="369"/>
        <v>0</v>
      </c>
      <c r="X140" s="71">
        <f>'Ανάλυση για νέους πελάτες'!D101</f>
        <v>0</v>
      </c>
      <c r="Y140" s="167">
        <f t="shared" ref="Y140:Y145" si="388">S140+X140</f>
        <v>0</v>
      </c>
      <c r="Z140" s="203">
        <f t="shared" ref="Z140:Z145" si="389">IFERROR((Y140-S140)/S140,0)</f>
        <v>0</v>
      </c>
      <c r="AA140" s="70">
        <f>'Ανάλυση για νέους πελάτες'!E101</f>
        <v>0</v>
      </c>
      <c r="AB140" s="167">
        <f t="shared" ref="AB140:AB145" si="390">Y140+AA140</f>
        <v>0</v>
      </c>
      <c r="AC140" s="223">
        <f t="shared" ref="AC140:AC145" si="391">IFERROR((AB140-Y140)/Y140,0)</f>
        <v>0</v>
      </c>
      <c r="AD140" s="70">
        <f>'Ανάλυση για νέους πελάτες'!F101</f>
        <v>0</v>
      </c>
      <c r="AE140" s="167">
        <f t="shared" ref="AE140:AE145" si="392">AB140+AD140</f>
        <v>0</v>
      </c>
      <c r="AF140" s="203">
        <f t="shared" ref="AF140:AF145" si="393">IFERROR((AE140-AB140)/AB140,0)</f>
        <v>0</v>
      </c>
      <c r="AG140" s="70">
        <f>'Ανάλυση για νέους πελάτες'!G101</f>
        <v>0</v>
      </c>
      <c r="AH140" s="167">
        <f t="shared" ref="AH140:AH145" si="394">AE140+AG140</f>
        <v>0</v>
      </c>
      <c r="AI140" s="223">
        <f t="shared" ref="AI140:AI145" si="395">IFERROR((AH140-AE140)/AE140,0)</f>
        <v>0</v>
      </c>
      <c r="AJ140" s="70">
        <f>'Ανάλυση για νέους πελάτες'!H101</f>
        <v>0</v>
      </c>
      <c r="AK140" s="167">
        <f t="shared" ref="AK140:AK145" si="396">AH140+AJ140</f>
        <v>0</v>
      </c>
      <c r="AL140" s="203">
        <f t="shared" ref="AL140:AL145" si="397">IFERROR((AK140-AH140)/AH140,0)</f>
        <v>0</v>
      </c>
      <c r="AM140" s="198">
        <f t="shared" ref="AM140:AM145" si="398">X140+AA140+AD140+AG140+AJ140</f>
        <v>0</v>
      </c>
      <c r="AN140" s="199">
        <f t="shared" si="387"/>
        <v>0</v>
      </c>
    </row>
    <row r="141" spans="2:40" ht="16.5" customHeight="1" outlineLevel="1" x14ac:dyDescent="0.25">
      <c r="B141" s="52" t="s">
        <v>307</v>
      </c>
      <c r="C141" s="64"/>
      <c r="D141" s="71"/>
      <c r="E141" s="71"/>
      <c r="F141" s="71"/>
      <c r="G141" s="167"/>
      <c r="H141" s="223">
        <f t="shared" si="367"/>
        <v>0</v>
      </c>
      <c r="I141" s="71"/>
      <c r="J141" s="167"/>
      <c r="K141" s="203">
        <f t="shared" si="373"/>
        <v>0</v>
      </c>
      <c r="L141" s="71"/>
      <c r="M141" s="167"/>
      <c r="N141" s="223">
        <f t="shared" si="375"/>
        <v>0</v>
      </c>
      <c r="O141" s="71"/>
      <c r="P141" s="161"/>
      <c r="Q141" s="161"/>
      <c r="R141" s="71"/>
      <c r="S141" s="167"/>
      <c r="T141" s="203">
        <f t="shared" si="377"/>
        <v>0</v>
      </c>
      <c r="U141" s="213"/>
      <c r="V141" s="199">
        <f t="shared" si="369"/>
        <v>0</v>
      </c>
      <c r="X141" s="71">
        <f>'Ανάλυση για νέους πελάτες'!D102</f>
        <v>0</v>
      </c>
      <c r="Y141" s="167">
        <f t="shared" si="388"/>
        <v>0</v>
      </c>
      <c r="Z141" s="203">
        <f t="shared" si="389"/>
        <v>0</v>
      </c>
      <c r="AA141" s="70">
        <f>'Ανάλυση για νέους πελάτες'!E102</f>
        <v>0</v>
      </c>
      <c r="AB141" s="167">
        <f t="shared" si="390"/>
        <v>0</v>
      </c>
      <c r="AC141" s="223">
        <f t="shared" si="391"/>
        <v>0</v>
      </c>
      <c r="AD141" s="70">
        <f>'Ανάλυση για νέους πελάτες'!F102</f>
        <v>0</v>
      </c>
      <c r="AE141" s="167">
        <f t="shared" si="392"/>
        <v>0</v>
      </c>
      <c r="AF141" s="203">
        <f t="shared" si="393"/>
        <v>0</v>
      </c>
      <c r="AG141" s="70">
        <f>'Ανάλυση για νέους πελάτες'!G102</f>
        <v>0</v>
      </c>
      <c r="AH141" s="167">
        <f t="shared" si="394"/>
        <v>0</v>
      </c>
      <c r="AI141" s="223">
        <f t="shared" si="395"/>
        <v>0</v>
      </c>
      <c r="AJ141" s="70">
        <f>'Ανάλυση για νέους πελάτες'!H102</f>
        <v>0</v>
      </c>
      <c r="AK141" s="167">
        <f t="shared" si="396"/>
        <v>0</v>
      </c>
      <c r="AL141" s="203">
        <f t="shared" si="397"/>
        <v>0</v>
      </c>
      <c r="AM141" s="198">
        <f t="shared" si="398"/>
        <v>0</v>
      </c>
      <c r="AN141" s="199">
        <f t="shared" si="387"/>
        <v>0</v>
      </c>
    </row>
    <row r="142" spans="2:40" ht="16.5" customHeight="1" outlineLevel="1" x14ac:dyDescent="0.25">
      <c r="B142" s="52" t="s">
        <v>304</v>
      </c>
      <c r="C142" s="64"/>
      <c r="D142" s="71"/>
      <c r="E142" s="71"/>
      <c r="F142" s="71"/>
      <c r="G142" s="167"/>
      <c r="H142" s="223">
        <f t="shared" si="367"/>
        <v>0</v>
      </c>
      <c r="I142" s="71"/>
      <c r="J142" s="167"/>
      <c r="K142" s="203">
        <f t="shared" si="373"/>
        <v>0</v>
      </c>
      <c r="L142" s="71"/>
      <c r="M142" s="167"/>
      <c r="N142" s="223">
        <f t="shared" si="375"/>
        <v>0</v>
      </c>
      <c r="O142" s="71"/>
      <c r="P142" s="161"/>
      <c r="Q142" s="161"/>
      <c r="R142" s="71"/>
      <c r="S142" s="167"/>
      <c r="T142" s="203">
        <f t="shared" si="377"/>
        <v>0</v>
      </c>
      <c r="U142" s="213"/>
      <c r="V142" s="199">
        <f t="shared" si="369"/>
        <v>0</v>
      </c>
      <c r="X142" s="71">
        <f>'Ανάλυση για νέους πελάτες'!D103</f>
        <v>0</v>
      </c>
      <c r="Y142" s="167">
        <f t="shared" si="388"/>
        <v>0</v>
      </c>
      <c r="Z142" s="203">
        <f t="shared" si="389"/>
        <v>0</v>
      </c>
      <c r="AA142" s="70">
        <f>'Ανάλυση για νέους πελάτες'!E103</f>
        <v>0</v>
      </c>
      <c r="AB142" s="167">
        <f t="shared" si="390"/>
        <v>0</v>
      </c>
      <c r="AC142" s="223">
        <f t="shared" si="391"/>
        <v>0</v>
      </c>
      <c r="AD142" s="70">
        <f>'Ανάλυση για νέους πελάτες'!F103</f>
        <v>0</v>
      </c>
      <c r="AE142" s="167">
        <f t="shared" si="392"/>
        <v>0</v>
      </c>
      <c r="AF142" s="203">
        <f t="shared" si="393"/>
        <v>0</v>
      </c>
      <c r="AG142" s="70">
        <f>'Ανάλυση για νέους πελάτες'!G103</f>
        <v>0</v>
      </c>
      <c r="AH142" s="167">
        <f t="shared" si="394"/>
        <v>0</v>
      </c>
      <c r="AI142" s="223">
        <f t="shared" si="395"/>
        <v>0</v>
      </c>
      <c r="AJ142" s="70">
        <f>'Ανάλυση για νέους πελάτες'!H103</f>
        <v>0</v>
      </c>
      <c r="AK142" s="167">
        <f t="shared" si="396"/>
        <v>0</v>
      </c>
      <c r="AL142" s="203">
        <f t="shared" si="397"/>
        <v>0</v>
      </c>
      <c r="AM142" s="198">
        <f t="shared" si="398"/>
        <v>0</v>
      </c>
      <c r="AN142" s="199">
        <f t="shared" si="387"/>
        <v>0</v>
      </c>
    </row>
    <row r="143" spans="2:40" ht="16.5" customHeight="1" outlineLevel="1" x14ac:dyDescent="0.25">
      <c r="B143" s="52" t="s">
        <v>305</v>
      </c>
      <c r="C143" s="64"/>
      <c r="D143" s="71"/>
      <c r="E143" s="71"/>
      <c r="F143" s="71"/>
      <c r="G143" s="167"/>
      <c r="H143" s="223">
        <f t="shared" si="367"/>
        <v>0</v>
      </c>
      <c r="I143" s="71"/>
      <c r="J143" s="167"/>
      <c r="K143" s="203">
        <f t="shared" si="373"/>
        <v>0</v>
      </c>
      <c r="L143" s="71"/>
      <c r="M143" s="167"/>
      <c r="N143" s="223">
        <f t="shared" si="375"/>
        <v>0</v>
      </c>
      <c r="O143" s="71"/>
      <c r="P143" s="161"/>
      <c r="Q143" s="161"/>
      <c r="R143" s="71"/>
      <c r="S143" s="167"/>
      <c r="T143" s="203">
        <f t="shared" si="377"/>
        <v>0</v>
      </c>
      <c r="U143" s="213"/>
      <c r="V143" s="199">
        <f t="shared" si="369"/>
        <v>0</v>
      </c>
      <c r="X143" s="71">
        <f>'Ανάλυση για νέους πελάτες'!D104</f>
        <v>0</v>
      </c>
      <c r="Y143" s="167">
        <f t="shared" si="388"/>
        <v>0</v>
      </c>
      <c r="Z143" s="203">
        <f t="shared" si="389"/>
        <v>0</v>
      </c>
      <c r="AA143" s="70">
        <f>'Ανάλυση για νέους πελάτες'!E104</f>
        <v>0</v>
      </c>
      <c r="AB143" s="167">
        <f t="shared" si="390"/>
        <v>0</v>
      </c>
      <c r="AC143" s="223">
        <f t="shared" si="391"/>
        <v>0</v>
      </c>
      <c r="AD143" s="70">
        <f>'Ανάλυση για νέους πελάτες'!F104</f>
        <v>0</v>
      </c>
      <c r="AE143" s="167">
        <f t="shared" si="392"/>
        <v>0</v>
      </c>
      <c r="AF143" s="203">
        <f t="shared" si="393"/>
        <v>0</v>
      </c>
      <c r="AG143" s="70">
        <f>'Ανάλυση για νέους πελάτες'!G104</f>
        <v>0</v>
      </c>
      <c r="AH143" s="167">
        <f t="shared" si="394"/>
        <v>0</v>
      </c>
      <c r="AI143" s="223">
        <f t="shared" si="395"/>
        <v>0</v>
      </c>
      <c r="AJ143" s="70">
        <f>'Ανάλυση για νέους πελάτες'!H104</f>
        <v>0</v>
      </c>
      <c r="AK143" s="167">
        <f t="shared" si="396"/>
        <v>0</v>
      </c>
      <c r="AL143" s="203">
        <f t="shared" si="397"/>
        <v>0</v>
      </c>
      <c r="AM143" s="198">
        <f t="shared" si="398"/>
        <v>0</v>
      </c>
      <c r="AN143" s="199">
        <f t="shared" si="387"/>
        <v>0</v>
      </c>
    </row>
    <row r="144" spans="2:40" ht="16.5" customHeight="1" outlineLevel="1" x14ac:dyDescent="0.25">
      <c r="B144" s="52" t="s">
        <v>306</v>
      </c>
      <c r="C144" s="64"/>
      <c r="D144" s="71"/>
      <c r="E144" s="71"/>
      <c r="F144" s="71"/>
      <c r="G144" s="167"/>
      <c r="H144" s="223">
        <f t="shared" si="367"/>
        <v>0</v>
      </c>
      <c r="I144" s="71"/>
      <c r="J144" s="167"/>
      <c r="K144" s="203">
        <f t="shared" si="373"/>
        <v>0</v>
      </c>
      <c r="L144" s="71"/>
      <c r="M144" s="167"/>
      <c r="N144" s="223">
        <f t="shared" si="375"/>
        <v>0</v>
      </c>
      <c r="O144" s="71"/>
      <c r="P144" s="161"/>
      <c r="Q144" s="161"/>
      <c r="R144" s="71"/>
      <c r="S144" s="167"/>
      <c r="T144" s="203">
        <f t="shared" si="377"/>
        <v>0</v>
      </c>
      <c r="U144" s="213"/>
      <c r="V144" s="199">
        <f t="shared" si="369"/>
        <v>0</v>
      </c>
      <c r="X144" s="71">
        <f>'Ανάλυση για νέους πελάτες'!D105</f>
        <v>0</v>
      </c>
      <c r="Y144" s="167">
        <f t="shared" si="388"/>
        <v>0</v>
      </c>
      <c r="Z144" s="203">
        <f t="shared" si="389"/>
        <v>0</v>
      </c>
      <c r="AA144" s="70">
        <f>'Ανάλυση για νέους πελάτες'!E105</f>
        <v>1</v>
      </c>
      <c r="AB144" s="167">
        <f t="shared" si="390"/>
        <v>1</v>
      </c>
      <c r="AC144" s="223">
        <f t="shared" si="391"/>
        <v>0</v>
      </c>
      <c r="AD144" s="70">
        <f>'Ανάλυση για νέους πελάτες'!F105</f>
        <v>1</v>
      </c>
      <c r="AE144" s="167">
        <f t="shared" si="392"/>
        <v>2</v>
      </c>
      <c r="AF144" s="203">
        <f t="shared" si="393"/>
        <v>1</v>
      </c>
      <c r="AG144" s="70">
        <f>'Ανάλυση για νέους πελάτες'!G105</f>
        <v>0</v>
      </c>
      <c r="AH144" s="167">
        <f t="shared" si="394"/>
        <v>2</v>
      </c>
      <c r="AI144" s="223">
        <f t="shared" si="395"/>
        <v>0</v>
      </c>
      <c r="AJ144" s="70">
        <f>'Ανάλυση για νέους πελάτες'!H105</f>
        <v>0</v>
      </c>
      <c r="AK144" s="167">
        <f t="shared" si="396"/>
        <v>2</v>
      </c>
      <c r="AL144" s="203">
        <f t="shared" si="397"/>
        <v>0</v>
      </c>
      <c r="AM144" s="198">
        <f t="shared" si="398"/>
        <v>2</v>
      </c>
      <c r="AN144" s="199">
        <f t="shared" si="387"/>
        <v>0</v>
      </c>
    </row>
    <row r="145" spans="2:40" ht="16.5" customHeight="1" outlineLevel="1" x14ac:dyDescent="0.25">
      <c r="B145" s="52" t="s">
        <v>308</v>
      </c>
      <c r="C145" s="64"/>
      <c r="D145" s="71"/>
      <c r="E145" s="71"/>
      <c r="F145" s="71"/>
      <c r="G145" s="167"/>
      <c r="H145" s="223">
        <f t="shared" si="367"/>
        <v>0</v>
      </c>
      <c r="I145" s="71"/>
      <c r="J145" s="167"/>
      <c r="K145" s="203">
        <f t="shared" si="373"/>
        <v>0</v>
      </c>
      <c r="L145" s="71"/>
      <c r="M145" s="167"/>
      <c r="N145" s="223">
        <f t="shared" si="375"/>
        <v>0</v>
      </c>
      <c r="O145" s="71"/>
      <c r="P145" s="161"/>
      <c r="Q145" s="161"/>
      <c r="R145" s="71"/>
      <c r="S145" s="167"/>
      <c r="T145" s="203">
        <f t="shared" si="377"/>
        <v>0</v>
      </c>
      <c r="U145" s="213"/>
      <c r="V145" s="199">
        <f t="shared" si="369"/>
        <v>0</v>
      </c>
      <c r="X145" s="71">
        <f>'Ανάλυση για νέους πελάτες'!D106</f>
        <v>0</v>
      </c>
      <c r="Y145" s="167">
        <f t="shared" si="388"/>
        <v>0</v>
      </c>
      <c r="Z145" s="203">
        <f t="shared" si="389"/>
        <v>0</v>
      </c>
      <c r="AA145" s="70">
        <f>'Ανάλυση για νέους πελάτες'!E106</f>
        <v>0</v>
      </c>
      <c r="AB145" s="167">
        <f t="shared" si="390"/>
        <v>0</v>
      </c>
      <c r="AC145" s="223">
        <f t="shared" si="391"/>
        <v>0</v>
      </c>
      <c r="AD145" s="70">
        <f>'Ανάλυση για νέους πελάτες'!F106</f>
        <v>0</v>
      </c>
      <c r="AE145" s="167">
        <f t="shared" si="392"/>
        <v>0</v>
      </c>
      <c r="AF145" s="203">
        <f t="shared" si="393"/>
        <v>0</v>
      </c>
      <c r="AG145" s="70">
        <f>'Ανάλυση για νέους πελάτες'!G106</f>
        <v>0</v>
      </c>
      <c r="AH145" s="167">
        <f t="shared" si="394"/>
        <v>0</v>
      </c>
      <c r="AI145" s="223">
        <f t="shared" si="395"/>
        <v>0</v>
      </c>
      <c r="AJ145" s="70">
        <f>'Ανάλυση για νέους πελάτες'!H106</f>
        <v>0</v>
      </c>
      <c r="AK145" s="167">
        <f t="shared" si="396"/>
        <v>0</v>
      </c>
      <c r="AL145" s="203">
        <f t="shared" si="397"/>
        <v>0</v>
      </c>
      <c r="AM145" s="198">
        <f t="shared" si="398"/>
        <v>0</v>
      </c>
      <c r="AN145" s="199">
        <f t="shared" si="387"/>
        <v>0</v>
      </c>
    </row>
    <row r="146" spans="2:40" ht="16.5" customHeight="1" outlineLevel="1" x14ac:dyDescent="0.25">
      <c r="B146" s="52"/>
      <c r="C146" s="64"/>
      <c r="D146" s="71"/>
      <c r="E146" s="71"/>
      <c r="F146" s="71"/>
      <c r="G146" s="167"/>
      <c r="H146" s="223">
        <f t="shared" si="367"/>
        <v>0</v>
      </c>
      <c r="I146" s="71"/>
      <c r="J146" s="167"/>
      <c r="K146" s="203">
        <f t="shared" si="373"/>
        <v>0</v>
      </c>
      <c r="L146" s="71"/>
      <c r="M146" s="167"/>
      <c r="N146" s="223">
        <f t="shared" si="375"/>
        <v>0</v>
      </c>
      <c r="O146" s="71"/>
      <c r="P146" s="161"/>
      <c r="Q146" s="161"/>
      <c r="R146" s="71"/>
      <c r="S146" s="167"/>
      <c r="T146" s="203">
        <f t="shared" si="377"/>
        <v>0</v>
      </c>
      <c r="U146" s="213"/>
      <c r="V146" s="199">
        <f t="shared" si="369"/>
        <v>0</v>
      </c>
      <c r="X146" s="71"/>
      <c r="Y146" s="167"/>
      <c r="Z146" s="203">
        <f t="shared" si="371"/>
        <v>0</v>
      </c>
      <c r="AA146" s="70"/>
      <c r="AB146" s="167"/>
      <c r="AC146" s="223">
        <f t="shared" si="379"/>
        <v>0</v>
      </c>
      <c r="AD146" s="70"/>
      <c r="AE146" s="167"/>
      <c r="AF146" s="203">
        <f t="shared" si="381"/>
        <v>0</v>
      </c>
      <c r="AG146" s="70"/>
      <c r="AH146" s="167"/>
      <c r="AI146" s="223">
        <f t="shared" si="383"/>
        <v>0</v>
      </c>
      <c r="AJ146" s="70"/>
      <c r="AK146" s="167"/>
      <c r="AL146" s="203">
        <f t="shared" si="385"/>
        <v>0</v>
      </c>
      <c r="AM146" s="198"/>
      <c r="AN146" s="199">
        <f t="shared" si="387"/>
        <v>0</v>
      </c>
    </row>
    <row r="147" spans="2:40" ht="15" customHeight="1" outlineLevel="1" x14ac:dyDescent="0.25">
      <c r="B147" s="349" t="s">
        <v>90</v>
      </c>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97"/>
    </row>
    <row r="148" spans="2:40" ht="15" customHeight="1" outlineLevel="1" x14ac:dyDescent="0.25">
      <c r="B148" s="52" t="s">
        <v>82</v>
      </c>
      <c r="C148" s="49" t="s">
        <v>22</v>
      </c>
      <c r="D148" s="207">
        <f>SUM(D132:D146)</f>
        <v>0</v>
      </c>
      <c r="E148" s="208">
        <f>SUM(E132:E146)</f>
        <v>0</v>
      </c>
      <c r="F148" s="225">
        <f>SUM(F132:F146)</f>
        <v>0</v>
      </c>
      <c r="G148" s="172">
        <f>SUM(G132:G146)</f>
        <v>0</v>
      </c>
      <c r="H148" s="224">
        <f>IFERROR((G148-E148)/E148,0)</f>
        <v>0</v>
      </c>
      <c r="I148" s="207">
        <f>SUM(I132:I146)</f>
        <v>0</v>
      </c>
      <c r="J148" s="172">
        <f>SUM(J132:J146)</f>
        <v>0</v>
      </c>
      <c r="K148" s="202">
        <f t="shared" ref="K148" si="399">IFERROR((J148-G148)/G148,0)</f>
        <v>0</v>
      </c>
      <c r="L148" s="225">
        <f>SUM(L132:L146)</f>
        <v>0</v>
      </c>
      <c r="M148" s="172">
        <f>SUM(M132:M146)</f>
        <v>0</v>
      </c>
      <c r="N148" s="224">
        <f t="shared" ref="N148" si="400">IFERROR((M148-J148)/J148,0)</f>
        <v>0</v>
      </c>
      <c r="O148" s="207">
        <f>SUM(O132:O146)</f>
        <v>0</v>
      </c>
      <c r="P148" s="161"/>
      <c r="Q148" s="161"/>
      <c r="R148" s="207">
        <f>SUM(R132:R146)</f>
        <v>0</v>
      </c>
      <c r="S148" s="172">
        <f>SUM(S132:S146)</f>
        <v>0</v>
      </c>
      <c r="T148" s="202">
        <f t="shared" ref="T148" si="401">IFERROR((S148-M148)/M148,0)</f>
        <v>0</v>
      </c>
      <c r="U148" s="215">
        <f>SUM(U132:U146)</f>
        <v>0</v>
      </c>
      <c r="V148" s="192">
        <f>IFERROR((S148/E148)^(1/4)-1,0)</f>
        <v>0</v>
      </c>
      <c r="X148" s="188">
        <f>SUM(X132:X146)</f>
        <v>2</v>
      </c>
      <c r="Y148" s="215">
        <f>SUM(Y132:Y146)</f>
        <v>2</v>
      </c>
      <c r="Z148" s="202">
        <f>IFERROR((Y148-S148)/S148,0)</f>
        <v>0</v>
      </c>
      <c r="AA148" s="188">
        <f>SUM(AA132:AA146)</f>
        <v>14</v>
      </c>
      <c r="AB148" s="215">
        <f>SUM(AB132:AB146)</f>
        <v>16</v>
      </c>
      <c r="AC148" s="217">
        <f>IFERROR((AB148-Y148)/Y148,0)</f>
        <v>7</v>
      </c>
      <c r="AD148" s="188">
        <f>SUM(AD132:AD146)</f>
        <v>12</v>
      </c>
      <c r="AE148" s="215">
        <f>SUM(AE132:AE146)</f>
        <v>28</v>
      </c>
      <c r="AF148" s="216">
        <f>IFERROR((AE148-AB148)/AB148,0)</f>
        <v>0.75</v>
      </c>
      <c r="AG148" s="188">
        <f>SUM(AG132:AG146)</f>
        <v>9</v>
      </c>
      <c r="AH148" s="215">
        <f>SUM(AH132:AH146)</f>
        <v>37</v>
      </c>
      <c r="AI148" s="217">
        <f>IFERROR((AH148-AE148)/AE148,0)</f>
        <v>0.32142857142857145</v>
      </c>
      <c r="AJ148" s="188">
        <f>SUM(AJ132:AJ146)</f>
        <v>4</v>
      </c>
      <c r="AK148" s="215">
        <f>SUM(AK132:AK146)</f>
        <v>41</v>
      </c>
      <c r="AL148" s="191">
        <f>IFERROR((AK148-AH148)/AH148,0)</f>
        <v>0.10810810810810811</v>
      </c>
      <c r="AM148" s="215">
        <f>SUM(AM132:AM146)</f>
        <v>41</v>
      </c>
      <c r="AN148" s="199">
        <f t="shared" ref="AN148" si="402">IFERROR((AK148/Y148)^(1/4)-1,0)</f>
        <v>1.1278375335228743</v>
      </c>
    </row>
    <row r="149" spans="2:40" ht="15" customHeight="1" x14ac:dyDescent="0.25"/>
    <row r="150" spans="2:40" ht="15.75" x14ac:dyDescent="0.25">
      <c r="B150" s="352" t="s">
        <v>12</v>
      </c>
      <c r="C150" s="352"/>
      <c r="D150" s="352"/>
      <c r="E150" s="352"/>
      <c r="F150" s="352"/>
      <c r="G150" s="352"/>
      <c r="H150" s="352"/>
      <c r="I150" s="352"/>
      <c r="J150" s="352"/>
      <c r="K150" s="352"/>
      <c r="L150" s="352"/>
      <c r="M150" s="352"/>
      <c r="N150" s="352"/>
      <c r="O150" s="352"/>
      <c r="P150" s="352"/>
      <c r="Q150" s="352"/>
      <c r="R150" s="352"/>
      <c r="S150" s="352"/>
      <c r="T150" s="352"/>
      <c r="U150" s="352"/>
      <c r="V150" s="352"/>
      <c r="W150" s="352"/>
      <c r="X150" s="352"/>
      <c r="Y150" s="352"/>
      <c r="Z150" s="352"/>
      <c r="AA150" s="352"/>
      <c r="AB150" s="352"/>
      <c r="AC150" s="352"/>
      <c r="AD150" s="352"/>
      <c r="AE150" s="352"/>
      <c r="AF150" s="352"/>
      <c r="AG150" s="352"/>
      <c r="AH150" s="352"/>
      <c r="AI150" s="352"/>
      <c r="AJ150" s="352"/>
      <c r="AK150" s="352"/>
      <c r="AL150" s="352"/>
      <c r="AM150" s="352"/>
      <c r="AN150" s="352"/>
    </row>
    <row r="151" spans="2:40" ht="5.45" customHeight="1" outlineLevel="1" x14ac:dyDescent="0.2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row>
    <row r="152" spans="2:40" outlineLevel="1" x14ac:dyDescent="0.25">
      <c r="B152" s="393"/>
      <c r="C152" s="396" t="s">
        <v>20</v>
      </c>
      <c r="D152" s="372" t="s">
        <v>262</v>
      </c>
      <c r="E152" s="373"/>
      <c r="F152" s="373"/>
      <c r="G152" s="373"/>
      <c r="H152" s="373"/>
      <c r="I152" s="373"/>
      <c r="J152" s="373"/>
      <c r="K152" s="373"/>
      <c r="L152" s="373"/>
      <c r="M152" s="373"/>
      <c r="N152" s="373"/>
      <c r="O152" s="373"/>
      <c r="P152" s="373"/>
      <c r="Q152" s="374"/>
      <c r="R152" s="372" t="s">
        <v>260</v>
      </c>
      <c r="S152" s="373"/>
      <c r="T152" s="374"/>
      <c r="U152" s="388" t="str">
        <f xml:space="preserve"> D153&amp;" - "&amp;R153</f>
        <v>2018 - 2022</v>
      </c>
      <c r="V152" s="398"/>
      <c r="X152" s="372" t="s">
        <v>263</v>
      </c>
      <c r="Y152" s="373"/>
      <c r="Z152" s="373"/>
      <c r="AA152" s="373"/>
      <c r="AB152" s="373"/>
      <c r="AC152" s="373"/>
      <c r="AD152" s="373"/>
      <c r="AE152" s="373"/>
      <c r="AF152" s="373"/>
      <c r="AG152" s="373"/>
      <c r="AH152" s="373"/>
      <c r="AI152" s="373"/>
      <c r="AJ152" s="373"/>
      <c r="AK152" s="373"/>
      <c r="AL152" s="373"/>
      <c r="AM152" s="373"/>
      <c r="AN152" s="374"/>
    </row>
    <row r="153" spans="2:40" outlineLevel="1" x14ac:dyDescent="0.25">
      <c r="B153" s="394"/>
      <c r="C153" s="396"/>
      <c r="D153" s="372">
        <f>$C$3-5</f>
        <v>2018</v>
      </c>
      <c r="E153" s="374"/>
      <c r="F153" s="373">
        <f>$C$3-4</f>
        <v>2019</v>
      </c>
      <c r="G153" s="373"/>
      <c r="H153" s="373"/>
      <c r="I153" s="372">
        <f>$C$3-3</f>
        <v>2020</v>
      </c>
      <c r="J153" s="373"/>
      <c r="K153" s="374"/>
      <c r="L153" s="372">
        <f>$C$3-2</f>
        <v>2021</v>
      </c>
      <c r="M153" s="373"/>
      <c r="N153" s="374"/>
      <c r="O153" s="372" t="str">
        <f>$C$3-1&amp;""&amp;" ("&amp;"Σεπτ"&amp;")"</f>
        <v>2022 (Σεπτ)</v>
      </c>
      <c r="P153" s="373"/>
      <c r="Q153" s="374"/>
      <c r="R153" s="372">
        <f>$C$3-1</f>
        <v>2022</v>
      </c>
      <c r="S153" s="373"/>
      <c r="T153" s="374"/>
      <c r="U153" s="390"/>
      <c r="V153" s="399"/>
      <c r="X153" s="372">
        <f>$C$3</f>
        <v>2023</v>
      </c>
      <c r="Y153" s="373"/>
      <c r="Z153" s="374"/>
      <c r="AA153" s="373">
        <f>$C$3+1</f>
        <v>2024</v>
      </c>
      <c r="AB153" s="373"/>
      <c r="AC153" s="373"/>
      <c r="AD153" s="372">
        <f>$C$3+2</f>
        <v>2025</v>
      </c>
      <c r="AE153" s="373"/>
      <c r="AF153" s="374"/>
      <c r="AG153" s="373">
        <f>$C$3+3</f>
        <v>2026</v>
      </c>
      <c r="AH153" s="373"/>
      <c r="AI153" s="373"/>
      <c r="AJ153" s="372">
        <f>$C$3+4</f>
        <v>2027</v>
      </c>
      <c r="AK153" s="373"/>
      <c r="AL153" s="374"/>
      <c r="AM153" s="376" t="str">
        <f>X153&amp;" - "&amp;AJ153</f>
        <v>2023 - 2027</v>
      </c>
      <c r="AN153" s="392"/>
    </row>
    <row r="154" spans="2:40" ht="30" outlineLevel="1" x14ac:dyDescent="0.25">
      <c r="B154" s="395"/>
      <c r="C154" s="396"/>
      <c r="D154" s="67" t="s">
        <v>6</v>
      </c>
      <c r="E154" s="68" t="s">
        <v>7</v>
      </c>
      <c r="F154" s="78" t="s">
        <v>6</v>
      </c>
      <c r="G154" s="9" t="s">
        <v>7</v>
      </c>
      <c r="H154" s="68" t="s">
        <v>81</v>
      </c>
      <c r="I154" s="78" t="s">
        <v>6</v>
      </c>
      <c r="J154" s="9" t="s">
        <v>7</v>
      </c>
      <c r="K154" s="68" t="s">
        <v>81</v>
      </c>
      <c r="L154" s="78" t="s">
        <v>6</v>
      </c>
      <c r="M154" s="9" t="s">
        <v>7</v>
      </c>
      <c r="N154" s="68" t="s">
        <v>81</v>
      </c>
      <c r="O154" s="78" t="s">
        <v>6</v>
      </c>
      <c r="P154" s="9" t="s">
        <v>7</v>
      </c>
      <c r="Q154" s="68" t="s">
        <v>81</v>
      </c>
      <c r="R154" s="78" t="s">
        <v>6</v>
      </c>
      <c r="S154" s="9" t="s">
        <v>7</v>
      </c>
      <c r="T154" s="68" t="s">
        <v>81</v>
      </c>
      <c r="U154" s="67" t="s">
        <v>17</v>
      </c>
      <c r="V154" s="132" t="s">
        <v>83</v>
      </c>
      <c r="X154" s="67" t="s">
        <v>6</v>
      </c>
      <c r="Y154" s="9" t="s">
        <v>7</v>
      </c>
      <c r="Z154" s="68" t="s">
        <v>81</v>
      </c>
      <c r="AA154" s="78" t="s">
        <v>6</v>
      </c>
      <c r="AB154" s="9" t="s">
        <v>7</v>
      </c>
      <c r="AC154" s="68" t="s">
        <v>81</v>
      </c>
      <c r="AD154" s="78" t="s">
        <v>6</v>
      </c>
      <c r="AE154" s="9" t="s">
        <v>7</v>
      </c>
      <c r="AF154" s="68" t="s">
        <v>81</v>
      </c>
      <c r="AG154" s="78" t="s">
        <v>6</v>
      </c>
      <c r="AH154" s="9" t="s">
        <v>7</v>
      </c>
      <c r="AI154" s="68" t="s">
        <v>81</v>
      </c>
      <c r="AJ154" s="78" t="s">
        <v>6</v>
      </c>
      <c r="AK154" s="9" t="s">
        <v>7</v>
      </c>
      <c r="AL154" s="68" t="s">
        <v>81</v>
      </c>
      <c r="AM154" s="78" t="s">
        <v>17</v>
      </c>
      <c r="AN154" s="132" t="s">
        <v>83</v>
      </c>
    </row>
    <row r="155" spans="2:40" outlineLevel="1" x14ac:dyDescent="0.25">
      <c r="B155" s="281" t="s">
        <v>283</v>
      </c>
      <c r="C155" s="64" t="s">
        <v>22</v>
      </c>
      <c r="D155" s="71">
        <v>0</v>
      </c>
      <c r="E155" s="71">
        <v>0</v>
      </c>
      <c r="F155" s="71">
        <v>0</v>
      </c>
      <c r="G155" s="167">
        <f t="shared" ref="G155:G163" si="403">E155+F155</f>
        <v>0</v>
      </c>
      <c r="H155" s="223">
        <f t="shared" ref="H155:H169" si="404">IFERROR((G155-E155)/E155,0)</f>
        <v>0</v>
      </c>
      <c r="I155" s="71">
        <v>0</v>
      </c>
      <c r="J155" s="167">
        <f>G155+I155</f>
        <v>0</v>
      </c>
      <c r="K155" s="203">
        <f>IFERROR((J155-G155)/G155,0)</f>
        <v>0</v>
      </c>
      <c r="L155" s="71">
        <v>0</v>
      </c>
      <c r="M155" s="167">
        <f>J155+L155</f>
        <v>0</v>
      </c>
      <c r="N155" s="223">
        <f>IFERROR((M155-J155)/J155,0)</f>
        <v>0</v>
      </c>
      <c r="O155" s="71"/>
      <c r="P155" s="161"/>
      <c r="Q155" s="161"/>
      <c r="R155" s="71"/>
      <c r="S155" s="167">
        <f>M155+R155</f>
        <v>0</v>
      </c>
      <c r="T155" s="203">
        <f>IFERROR((S155-M155)/M155,0)</f>
        <v>0</v>
      </c>
      <c r="U155" s="213">
        <f t="shared" ref="U155:U163" si="405">D155+F155+I155+L155+R155</f>
        <v>0</v>
      </c>
      <c r="V155" s="199">
        <f t="shared" ref="V155:V169" si="406">IFERROR((S155/E155)^(1/4)-1,0)</f>
        <v>0</v>
      </c>
      <c r="X155" s="71">
        <f>'Ανάλυση για νέους πελάτες'!D113</f>
        <v>0</v>
      </c>
      <c r="Y155" s="167">
        <f t="shared" ref="Y155:Y163" si="407">S155+X155</f>
        <v>0</v>
      </c>
      <c r="Z155" s="203">
        <f t="shared" ref="Z155:Z169" si="408">IFERROR((Y155-S155)/S155,0)</f>
        <v>0</v>
      </c>
      <c r="AA155" s="71">
        <f>'Ανάλυση για νέους πελάτες'!E113</f>
        <v>0</v>
      </c>
      <c r="AB155" s="167">
        <f>Y155+AA155</f>
        <v>0</v>
      </c>
      <c r="AC155" s="223">
        <f>IFERROR((AB155-Y155)/Y155,0)</f>
        <v>0</v>
      </c>
      <c r="AD155" s="71">
        <f>'Ανάλυση για νέους πελάτες'!F113</f>
        <v>0</v>
      </c>
      <c r="AE155" s="167">
        <f>AB155+AD155</f>
        <v>0</v>
      </c>
      <c r="AF155" s="203">
        <f>IFERROR((AE155-AB155)/AB155,0)</f>
        <v>0</v>
      </c>
      <c r="AG155" s="71">
        <f>'Ανάλυση για νέους πελάτες'!G113</f>
        <v>0</v>
      </c>
      <c r="AH155" s="167">
        <f>AE155+AG155</f>
        <v>0</v>
      </c>
      <c r="AI155" s="223">
        <f>IFERROR((AH155-AE155)/AE155,0)</f>
        <v>0</v>
      </c>
      <c r="AJ155" s="71">
        <f>'Ανάλυση για νέους πελάτες'!H113</f>
        <v>0</v>
      </c>
      <c r="AK155" s="167">
        <f>AH155+AJ155</f>
        <v>0</v>
      </c>
      <c r="AL155" s="203">
        <f>IFERROR((AK155-AH155)/AH155,0)</f>
        <v>0</v>
      </c>
      <c r="AM155" s="198">
        <f>X155+AA155+AD155+AG155+AJ155</f>
        <v>0</v>
      </c>
      <c r="AN155" s="199">
        <f>IFERROR((AK155/Y155)^(1/4)-1,0)</f>
        <v>0</v>
      </c>
    </row>
    <row r="156" spans="2:40" outlineLevel="1" x14ac:dyDescent="0.25">
      <c r="B156" s="52" t="s">
        <v>284</v>
      </c>
      <c r="C156" s="64" t="s">
        <v>22</v>
      </c>
      <c r="D156" s="71">
        <v>0</v>
      </c>
      <c r="E156" s="71">
        <v>0</v>
      </c>
      <c r="F156" s="71">
        <v>0</v>
      </c>
      <c r="G156" s="167">
        <f t="shared" si="403"/>
        <v>0</v>
      </c>
      <c r="H156" s="223">
        <f t="shared" si="404"/>
        <v>0</v>
      </c>
      <c r="I156" s="71">
        <v>0</v>
      </c>
      <c r="J156" s="167">
        <f t="shared" ref="J156:J163" si="409">G156+I156</f>
        <v>0</v>
      </c>
      <c r="K156" s="203">
        <f t="shared" ref="K156:K169" si="410">IFERROR((J156-G156)/G156,0)</f>
        <v>0</v>
      </c>
      <c r="L156" s="71">
        <v>0</v>
      </c>
      <c r="M156" s="167">
        <f t="shared" ref="M156:M163" si="411">J156+L156</f>
        <v>0</v>
      </c>
      <c r="N156" s="223">
        <f t="shared" ref="N156:N169" si="412">IFERROR((M156-J156)/J156,0)</f>
        <v>0</v>
      </c>
      <c r="O156" s="71"/>
      <c r="P156" s="161"/>
      <c r="Q156" s="161"/>
      <c r="R156" s="71"/>
      <c r="S156" s="167">
        <f t="shared" ref="S156:S163" si="413">M156+R156</f>
        <v>0</v>
      </c>
      <c r="T156" s="203">
        <f t="shared" ref="T156:T169" si="414">IFERROR((S156-M156)/M156,0)</f>
        <v>0</v>
      </c>
      <c r="U156" s="213">
        <f t="shared" si="405"/>
        <v>0</v>
      </c>
      <c r="V156" s="199">
        <f t="shared" si="406"/>
        <v>0</v>
      </c>
      <c r="X156" s="71">
        <f>'Ανάλυση για νέους πελάτες'!D114</f>
        <v>0</v>
      </c>
      <c r="Y156" s="167">
        <f t="shared" si="407"/>
        <v>0</v>
      </c>
      <c r="Z156" s="203">
        <f t="shared" si="408"/>
        <v>0</v>
      </c>
      <c r="AA156" s="71">
        <f>'Ανάλυση για νέους πελάτες'!E114</f>
        <v>0</v>
      </c>
      <c r="AB156" s="167">
        <f t="shared" ref="AB156:AB163" si="415">Y156+AA156</f>
        <v>0</v>
      </c>
      <c r="AC156" s="223">
        <f t="shared" ref="AC156:AC169" si="416">IFERROR((AB156-Y156)/Y156,0)</f>
        <v>0</v>
      </c>
      <c r="AD156" s="71">
        <f>'Ανάλυση για νέους πελάτες'!F114</f>
        <v>0</v>
      </c>
      <c r="AE156" s="167">
        <f t="shared" ref="AE156:AE163" si="417">AB156+AD156</f>
        <v>0</v>
      </c>
      <c r="AF156" s="203">
        <f t="shared" ref="AF156:AF169" si="418">IFERROR((AE156-AB156)/AB156,0)</f>
        <v>0</v>
      </c>
      <c r="AG156" s="71">
        <f>'Ανάλυση για νέους πελάτες'!G114</f>
        <v>0</v>
      </c>
      <c r="AH156" s="167">
        <f t="shared" ref="AH156:AH163" si="419">AE156+AG156</f>
        <v>0</v>
      </c>
      <c r="AI156" s="223">
        <f t="shared" ref="AI156:AI169" si="420">IFERROR((AH156-AE156)/AE156,0)</f>
        <v>0</v>
      </c>
      <c r="AJ156" s="71">
        <f>'Ανάλυση για νέους πελάτες'!H114</f>
        <v>0</v>
      </c>
      <c r="AK156" s="167">
        <f t="shared" ref="AK156:AK163" si="421">AH156+AJ156</f>
        <v>0</v>
      </c>
      <c r="AL156" s="203">
        <f t="shared" ref="AL156:AL169" si="422">IFERROR((AK156-AH156)/AH156,0)</f>
        <v>0</v>
      </c>
      <c r="AM156" s="198">
        <f t="shared" ref="AM156:AM163" si="423">X156+AA156+AD156+AG156+AJ156</f>
        <v>0</v>
      </c>
      <c r="AN156" s="199">
        <f t="shared" ref="AN156:AN169" si="424">IFERROR((AK156/Y156)^(1/4)-1,0)</f>
        <v>0</v>
      </c>
    </row>
    <row r="157" spans="2:40" outlineLevel="1" x14ac:dyDescent="0.25">
      <c r="B157" s="52" t="s">
        <v>285</v>
      </c>
      <c r="C157" s="64" t="s">
        <v>22</v>
      </c>
      <c r="D157" s="71">
        <v>0</v>
      </c>
      <c r="E157" s="71">
        <v>0</v>
      </c>
      <c r="F157" s="71">
        <v>0</v>
      </c>
      <c r="G157" s="167">
        <f t="shared" si="403"/>
        <v>0</v>
      </c>
      <c r="H157" s="223">
        <f t="shared" si="404"/>
        <v>0</v>
      </c>
      <c r="I157" s="71">
        <v>0</v>
      </c>
      <c r="J157" s="167">
        <f t="shared" si="409"/>
        <v>0</v>
      </c>
      <c r="K157" s="203">
        <f t="shared" si="410"/>
        <v>0</v>
      </c>
      <c r="L157" s="71">
        <v>0</v>
      </c>
      <c r="M157" s="167">
        <f t="shared" si="411"/>
        <v>0</v>
      </c>
      <c r="N157" s="223">
        <f t="shared" si="412"/>
        <v>0</v>
      </c>
      <c r="O157" s="71"/>
      <c r="P157" s="161"/>
      <c r="Q157" s="161"/>
      <c r="R157" s="71"/>
      <c r="S157" s="167">
        <f t="shared" si="413"/>
        <v>0</v>
      </c>
      <c r="T157" s="203">
        <f t="shared" si="414"/>
        <v>0</v>
      </c>
      <c r="U157" s="213">
        <f t="shared" si="405"/>
        <v>0</v>
      </c>
      <c r="V157" s="199">
        <f t="shared" si="406"/>
        <v>0</v>
      </c>
      <c r="X157" s="71">
        <f>'Ανάλυση για νέους πελάτες'!D115</f>
        <v>0</v>
      </c>
      <c r="Y157" s="167">
        <f t="shared" si="407"/>
        <v>0</v>
      </c>
      <c r="Z157" s="203">
        <f t="shared" si="408"/>
        <v>0</v>
      </c>
      <c r="AA157" s="71">
        <f>'Ανάλυση για νέους πελάτες'!E115</f>
        <v>0</v>
      </c>
      <c r="AB157" s="167">
        <f t="shared" si="415"/>
        <v>0</v>
      </c>
      <c r="AC157" s="223">
        <f t="shared" si="416"/>
        <v>0</v>
      </c>
      <c r="AD157" s="71">
        <f>'Ανάλυση για νέους πελάτες'!F115</f>
        <v>0</v>
      </c>
      <c r="AE157" s="167">
        <f t="shared" si="417"/>
        <v>0</v>
      </c>
      <c r="AF157" s="203">
        <f t="shared" si="418"/>
        <v>0</v>
      </c>
      <c r="AG157" s="71">
        <f>'Ανάλυση για νέους πελάτες'!G115</f>
        <v>0</v>
      </c>
      <c r="AH157" s="167">
        <f t="shared" si="419"/>
        <v>0</v>
      </c>
      <c r="AI157" s="223">
        <f t="shared" si="420"/>
        <v>0</v>
      </c>
      <c r="AJ157" s="71">
        <f>'Ανάλυση για νέους πελάτες'!H115</f>
        <v>0</v>
      </c>
      <c r="AK157" s="167">
        <f t="shared" si="421"/>
        <v>0</v>
      </c>
      <c r="AL157" s="203">
        <f t="shared" si="422"/>
        <v>0</v>
      </c>
      <c r="AM157" s="198">
        <f t="shared" si="423"/>
        <v>0</v>
      </c>
      <c r="AN157" s="199">
        <f t="shared" si="424"/>
        <v>0</v>
      </c>
    </row>
    <row r="158" spans="2:40" ht="16.5" customHeight="1" outlineLevel="1" x14ac:dyDescent="0.25">
      <c r="B158" s="52" t="s">
        <v>286</v>
      </c>
      <c r="C158" s="64" t="s">
        <v>22</v>
      </c>
      <c r="D158" s="71">
        <v>0</v>
      </c>
      <c r="E158" s="71">
        <v>0</v>
      </c>
      <c r="F158" s="71">
        <v>0</v>
      </c>
      <c r="G158" s="167">
        <f t="shared" si="403"/>
        <v>0</v>
      </c>
      <c r="H158" s="223">
        <f t="shared" si="404"/>
        <v>0</v>
      </c>
      <c r="I158" s="71">
        <v>0</v>
      </c>
      <c r="J158" s="167">
        <f t="shared" si="409"/>
        <v>0</v>
      </c>
      <c r="K158" s="203">
        <f t="shared" si="410"/>
        <v>0</v>
      </c>
      <c r="L158" s="71">
        <v>0</v>
      </c>
      <c r="M158" s="167">
        <f t="shared" si="411"/>
        <v>0</v>
      </c>
      <c r="N158" s="223">
        <f t="shared" si="412"/>
        <v>0</v>
      </c>
      <c r="O158" s="71"/>
      <c r="P158" s="161"/>
      <c r="Q158" s="161"/>
      <c r="R158" s="71"/>
      <c r="S158" s="167">
        <f t="shared" si="413"/>
        <v>0</v>
      </c>
      <c r="T158" s="203">
        <f t="shared" si="414"/>
        <v>0</v>
      </c>
      <c r="U158" s="213">
        <f t="shared" si="405"/>
        <v>0</v>
      </c>
      <c r="V158" s="199">
        <f t="shared" si="406"/>
        <v>0</v>
      </c>
      <c r="X158" s="71">
        <f>'Ανάλυση για νέους πελάτες'!D116</f>
        <v>0</v>
      </c>
      <c r="Y158" s="167">
        <f t="shared" si="407"/>
        <v>0</v>
      </c>
      <c r="Z158" s="203">
        <f t="shared" si="408"/>
        <v>0</v>
      </c>
      <c r="AA158" s="71">
        <f>'Ανάλυση για νέους πελάτες'!E116</f>
        <v>1</v>
      </c>
      <c r="AB158" s="167">
        <f t="shared" si="415"/>
        <v>1</v>
      </c>
      <c r="AC158" s="223">
        <f t="shared" si="416"/>
        <v>0</v>
      </c>
      <c r="AD158" s="71">
        <f>'Ανάλυση για νέους πελάτες'!F116</f>
        <v>0</v>
      </c>
      <c r="AE158" s="167">
        <f t="shared" si="417"/>
        <v>1</v>
      </c>
      <c r="AF158" s="203">
        <f t="shared" si="418"/>
        <v>0</v>
      </c>
      <c r="AG158" s="71">
        <f>'Ανάλυση για νέους πελάτες'!G116</f>
        <v>0</v>
      </c>
      <c r="AH158" s="167">
        <f t="shared" si="419"/>
        <v>1</v>
      </c>
      <c r="AI158" s="223">
        <f t="shared" si="420"/>
        <v>0</v>
      </c>
      <c r="AJ158" s="71">
        <f>'Ανάλυση για νέους πελάτες'!H116</f>
        <v>1</v>
      </c>
      <c r="AK158" s="167">
        <f t="shared" si="421"/>
        <v>2</v>
      </c>
      <c r="AL158" s="203">
        <f t="shared" si="422"/>
        <v>1</v>
      </c>
      <c r="AM158" s="198">
        <f t="shared" si="423"/>
        <v>2</v>
      </c>
      <c r="AN158" s="199">
        <f t="shared" si="424"/>
        <v>0</v>
      </c>
    </row>
    <row r="159" spans="2:40" ht="16.5" customHeight="1" outlineLevel="1" x14ac:dyDescent="0.25">
      <c r="B159" s="52" t="s">
        <v>287</v>
      </c>
      <c r="C159" s="64" t="s">
        <v>22</v>
      </c>
      <c r="D159" s="71">
        <v>0</v>
      </c>
      <c r="E159" s="71">
        <v>0</v>
      </c>
      <c r="F159" s="71">
        <v>0</v>
      </c>
      <c r="G159" s="167">
        <f t="shared" si="403"/>
        <v>0</v>
      </c>
      <c r="H159" s="223">
        <f t="shared" si="404"/>
        <v>0</v>
      </c>
      <c r="I159" s="71">
        <v>0</v>
      </c>
      <c r="J159" s="167">
        <f t="shared" si="409"/>
        <v>0</v>
      </c>
      <c r="K159" s="203">
        <f t="shared" si="410"/>
        <v>0</v>
      </c>
      <c r="L159" s="71">
        <v>0</v>
      </c>
      <c r="M159" s="167">
        <f t="shared" si="411"/>
        <v>0</v>
      </c>
      <c r="N159" s="223">
        <f t="shared" si="412"/>
        <v>0</v>
      </c>
      <c r="O159" s="71"/>
      <c r="P159" s="161"/>
      <c r="Q159" s="161"/>
      <c r="R159" s="71"/>
      <c r="S159" s="167">
        <f t="shared" si="413"/>
        <v>0</v>
      </c>
      <c r="T159" s="203">
        <f t="shared" si="414"/>
        <v>0</v>
      </c>
      <c r="U159" s="213">
        <f t="shared" si="405"/>
        <v>0</v>
      </c>
      <c r="V159" s="199">
        <f t="shared" si="406"/>
        <v>0</v>
      </c>
      <c r="X159" s="71">
        <f>'Ανάλυση για νέους πελάτες'!D117</f>
        <v>0</v>
      </c>
      <c r="Y159" s="167">
        <f t="shared" si="407"/>
        <v>0</v>
      </c>
      <c r="Z159" s="203">
        <f t="shared" si="408"/>
        <v>0</v>
      </c>
      <c r="AA159" s="71">
        <f>'Ανάλυση για νέους πελάτες'!E117</f>
        <v>1</v>
      </c>
      <c r="AB159" s="167">
        <f t="shared" si="415"/>
        <v>1</v>
      </c>
      <c r="AC159" s="223">
        <f t="shared" si="416"/>
        <v>0</v>
      </c>
      <c r="AD159" s="71">
        <f>'Ανάλυση για νέους πελάτες'!F117</f>
        <v>0</v>
      </c>
      <c r="AE159" s="167">
        <f t="shared" si="417"/>
        <v>1</v>
      </c>
      <c r="AF159" s="203">
        <f t="shared" si="418"/>
        <v>0</v>
      </c>
      <c r="AG159" s="71">
        <f>'Ανάλυση για νέους πελάτες'!G117</f>
        <v>0</v>
      </c>
      <c r="AH159" s="167">
        <f t="shared" si="419"/>
        <v>1</v>
      </c>
      <c r="AI159" s="223">
        <f t="shared" si="420"/>
        <v>0</v>
      </c>
      <c r="AJ159" s="71">
        <f>'Ανάλυση για νέους πελάτες'!H117</f>
        <v>0</v>
      </c>
      <c r="AK159" s="167">
        <f t="shared" si="421"/>
        <v>1</v>
      </c>
      <c r="AL159" s="203">
        <f t="shared" si="422"/>
        <v>0</v>
      </c>
      <c r="AM159" s="198">
        <f t="shared" si="423"/>
        <v>1</v>
      </c>
      <c r="AN159" s="199">
        <f t="shared" si="424"/>
        <v>0</v>
      </c>
    </row>
    <row r="160" spans="2:40" ht="16.5" customHeight="1" outlineLevel="1" x14ac:dyDescent="0.25">
      <c r="B160" s="52" t="s">
        <v>288</v>
      </c>
      <c r="C160" s="64" t="s">
        <v>22</v>
      </c>
      <c r="D160" s="71">
        <v>0</v>
      </c>
      <c r="E160" s="71">
        <v>0</v>
      </c>
      <c r="F160" s="71">
        <v>0</v>
      </c>
      <c r="G160" s="167">
        <f t="shared" si="403"/>
        <v>0</v>
      </c>
      <c r="H160" s="223">
        <f t="shared" si="404"/>
        <v>0</v>
      </c>
      <c r="I160" s="71">
        <v>0</v>
      </c>
      <c r="J160" s="167">
        <f t="shared" si="409"/>
        <v>0</v>
      </c>
      <c r="K160" s="203">
        <f t="shared" si="410"/>
        <v>0</v>
      </c>
      <c r="L160" s="71">
        <v>0</v>
      </c>
      <c r="M160" s="167">
        <f t="shared" si="411"/>
        <v>0</v>
      </c>
      <c r="N160" s="223">
        <f t="shared" si="412"/>
        <v>0</v>
      </c>
      <c r="O160" s="71"/>
      <c r="P160" s="161"/>
      <c r="Q160" s="161"/>
      <c r="R160" s="71"/>
      <c r="S160" s="167">
        <f t="shared" si="413"/>
        <v>0</v>
      </c>
      <c r="T160" s="203">
        <f t="shared" si="414"/>
        <v>0</v>
      </c>
      <c r="U160" s="213">
        <f t="shared" si="405"/>
        <v>0</v>
      </c>
      <c r="V160" s="199">
        <f t="shared" si="406"/>
        <v>0</v>
      </c>
      <c r="X160" s="71">
        <f>'Ανάλυση για νέους πελάτες'!D118</f>
        <v>1</v>
      </c>
      <c r="Y160" s="167">
        <f t="shared" si="407"/>
        <v>1</v>
      </c>
      <c r="Z160" s="203">
        <f t="shared" si="408"/>
        <v>0</v>
      </c>
      <c r="AA160" s="71">
        <f>'Ανάλυση για νέους πελάτες'!E118</f>
        <v>0</v>
      </c>
      <c r="AB160" s="167">
        <f t="shared" si="415"/>
        <v>1</v>
      </c>
      <c r="AC160" s="223">
        <f t="shared" si="416"/>
        <v>0</v>
      </c>
      <c r="AD160" s="71">
        <f>'Ανάλυση για νέους πελάτες'!F118</f>
        <v>0</v>
      </c>
      <c r="AE160" s="167">
        <f t="shared" si="417"/>
        <v>1</v>
      </c>
      <c r="AF160" s="203">
        <f t="shared" si="418"/>
        <v>0</v>
      </c>
      <c r="AG160" s="71">
        <f>'Ανάλυση για νέους πελάτες'!G118</f>
        <v>0</v>
      </c>
      <c r="AH160" s="167">
        <f t="shared" si="419"/>
        <v>1</v>
      </c>
      <c r="AI160" s="223">
        <f t="shared" si="420"/>
        <v>0</v>
      </c>
      <c r="AJ160" s="71">
        <f>'Ανάλυση για νέους πελάτες'!H118</f>
        <v>0</v>
      </c>
      <c r="AK160" s="167">
        <f t="shared" si="421"/>
        <v>1</v>
      </c>
      <c r="AL160" s="203">
        <f t="shared" si="422"/>
        <v>0</v>
      </c>
      <c r="AM160" s="198">
        <f t="shared" si="423"/>
        <v>1</v>
      </c>
      <c r="AN160" s="199">
        <f t="shared" si="424"/>
        <v>0</v>
      </c>
    </row>
    <row r="161" spans="2:40" ht="16.5" customHeight="1" outlineLevel="1" x14ac:dyDescent="0.25">
      <c r="B161" s="52" t="s">
        <v>289</v>
      </c>
      <c r="C161" s="64" t="s">
        <v>22</v>
      </c>
      <c r="D161" s="71">
        <v>0</v>
      </c>
      <c r="E161" s="71">
        <v>0</v>
      </c>
      <c r="F161" s="71">
        <v>0</v>
      </c>
      <c r="G161" s="167">
        <f t="shared" si="403"/>
        <v>0</v>
      </c>
      <c r="H161" s="223">
        <f t="shared" si="404"/>
        <v>0</v>
      </c>
      <c r="I161" s="71">
        <v>0</v>
      </c>
      <c r="J161" s="167">
        <f t="shared" si="409"/>
        <v>0</v>
      </c>
      <c r="K161" s="203">
        <f t="shared" si="410"/>
        <v>0</v>
      </c>
      <c r="L161" s="71">
        <v>0</v>
      </c>
      <c r="M161" s="167">
        <f t="shared" si="411"/>
        <v>0</v>
      </c>
      <c r="N161" s="223">
        <f t="shared" si="412"/>
        <v>0</v>
      </c>
      <c r="O161" s="71"/>
      <c r="P161" s="161"/>
      <c r="Q161" s="161"/>
      <c r="R161" s="71"/>
      <c r="S161" s="167">
        <f t="shared" si="413"/>
        <v>0</v>
      </c>
      <c r="T161" s="203">
        <f t="shared" si="414"/>
        <v>0</v>
      </c>
      <c r="U161" s="213">
        <f t="shared" si="405"/>
        <v>0</v>
      </c>
      <c r="V161" s="199">
        <f t="shared" si="406"/>
        <v>0</v>
      </c>
      <c r="X161" s="71">
        <f>'Ανάλυση για νέους πελάτες'!D119</f>
        <v>1</v>
      </c>
      <c r="Y161" s="167">
        <f t="shared" si="407"/>
        <v>1</v>
      </c>
      <c r="Z161" s="203">
        <f t="shared" si="408"/>
        <v>0</v>
      </c>
      <c r="AA161" s="71">
        <f>'Ανάλυση για νέους πελάτες'!E119</f>
        <v>1</v>
      </c>
      <c r="AB161" s="167">
        <f t="shared" si="415"/>
        <v>2</v>
      </c>
      <c r="AC161" s="223">
        <f t="shared" si="416"/>
        <v>1</v>
      </c>
      <c r="AD161" s="71">
        <f>'Ανάλυση για νέους πελάτες'!F119</f>
        <v>0</v>
      </c>
      <c r="AE161" s="167">
        <f t="shared" si="417"/>
        <v>2</v>
      </c>
      <c r="AF161" s="203">
        <f t="shared" si="418"/>
        <v>0</v>
      </c>
      <c r="AG161" s="71">
        <f>'Ανάλυση για νέους πελάτες'!G119</f>
        <v>0</v>
      </c>
      <c r="AH161" s="167">
        <f t="shared" si="419"/>
        <v>2</v>
      </c>
      <c r="AI161" s="223">
        <f t="shared" si="420"/>
        <v>0</v>
      </c>
      <c r="AJ161" s="71">
        <f>'Ανάλυση για νέους πελάτες'!H119</f>
        <v>0</v>
      </c>
      <c r="AK161" s="167">
        <f t="shared" si="421"/>
        <v>2</v>
      </c>
      <c r="AL161" s="203">
        <f t="shared" si="422"/>
        <v>0</v>
      </c>
      <c r="AM161" s="198">
        <f t="shared" si="423"/>
        <v>2</v>
      </c>
      <c r="AN161" s="199">
        <f t="shared" si="424"/>
        <v>0.18920711500272103</v>
      </c>
    </row>
    <row r="162" spans="2:40" ht="16.5" customHeight="1" outlineLevel="1" x14ac:dyDescent="0.25">
      <c r="B162" s="52" t="s">
        <v>290</v>
      </c>
      <c r="C162" s="64" t="s">
        <v>22</v>
      </c>
      <c r="D162" s="71">
        <v>0</v>
      </c>
      <c r="E162" s="71">
        <v>0</v>
      </c>
      <c r="F162" s="71">
        <v>0</v>
      </c>
      <c r="G162" s="167">
        <f t="shared" si="403"/>
        <v>0</v>
      </c>
      <c r="H162" s="223">
        <f t="shared" si="404"/>
        <v>0</v>
      </c>
      <c r="I162" s="71">
        <v>0</v>
      </c>
      <c r="J162" s="167">
        <f t="shared" si="409"/>
        <v>0</v>
      </c>
      <c r="K162" s="203">
        <f t="shared" si="410"/>
        <v>0</v>
      </c>
      <c r="L162" s="71">
        <v>0</v>
      </c>
      <c r="M162" s="167">
        <f t="shared" si="411"/>
        <v>0</v>
      </c>
      <c r="N162" s="223">
        <f t="shared" si="412"/>
        <v>0</v>
      </c>
      <c r="O162" s="71"/>
      <c r="P162" s="161"/>
      <c r="Q162" s="161"/>
      <c r="R162" s="71"/>
      <c r="S162" s="167">
        <f t="shared" si="413"/>
        <v>0</v>
      </c>
      <c r="T162" s="203">
        <f t="shared" si="414"/>
        <v>0</v>
      </c>
      <c r="U162" s="213">
        <f t="shared" si="405"/>
        <v>0</v>
      </c>
      <c r="V162" s="199">
        <f t="shared" si="406"/>
        <v>0</v>
      </c>
      <c r="X162" s="71">
        <f>'Ανάλυση για νέους πελάτες'!D120</f>
        <v>1</v>
      </c>
      <c r="Y162" s="167">
        <f t="shared" si="407"/>
        <v>1</v>
      </c>
      <c r="Z162" s="203">
        <f t="shared" si="408"/>
        <v>0</v>
      </c>
      <c r="AA162" s="71">
        <f>'Ανάλυση για νέους πελάτες'!E120</f>
        <v>1</v>
      </c>
      <c r="AB162" s="167">
        <f t="shared" si="415"/>
        <v>2</v>
      </c>
      <c r="AC162" s="223">
        <f t="shared" si="416"/>
        <v>1</v>
      </c>
      <c r="AD162" s="71">
        <f>'Ανάλυση για νέους πελάτες'!F120</f>
        <v>0</v>
      </c>
      <c r="AE162" s="167">
        <f t="shared" si="417"/>
        <v>2</v>
      </c>
      <c r="AF162" s="203">
        <f t="shared" si="418"/>
        <v>0</v>
      </c>
      <c r="AG162" s="71">
        <f>'Ανάλυση για νέους πελάτες'!G120</f>
        <v>0</v>
      </c>
      <c r="AH162" s="167">
        <f t="shared" si="419"/>
        <v>2</v>
      </c>
      <c r="AI162" s="223">
        <f t="shared" si="420"/>
        <v>0</v>
      </c>
      <c r="AJ162" s="71">
        <f>'Ανάλυση για νέους πελάτες'!H120</f>
        <v>0</v>
      </c>
      <c r="AK162" s="167">
        <f t="shared" si="421"/>
        <v>2</v>
      </c>
      <c r="AL162" s="203">
        <f t="shared" si="422"/>
        <v>0</v>
      </c>
      <c r="AM162" s="198">
        <f t="shared" si="423"/>
        <v>2</v>
      </c>
      <c r="AN162" s="199">
        <f t="shared" si="424"/>
        <v>0.18920711500272103</v>
      </c>
    </row>
    <row r="163" spans="2:40" ht="16.5" customHeight="1" outlineLevel="1" x14ac:dyDescent="0.25">
      <c r="B163" s="52" t="s">
        <v>291</v>
      </c>
      <c r="C163" s="64" t="s">
        <v>22</v>
      </c>
      <c r="D163" s="71">
        <v>0</v>
      </c>
      <c r="E163" s="71">
        <v>0</v>
      </c>
      <c r="F163" s="71">
        <v>0</v>
      </c>
      <c r="G163" s="167">
        <f t="shared" si="403"/>
        <v>0</v>
      </c>
      <c r="H163" s="223">
        <f t="shared" si="404"/>
        <v>0</v>
      </c>
      <c r="I163" s="71">
        <v>0</v>
      </c>
      <c r="J163" s="167">
        <f t="shared" si="409"/>
        <v>0</v>
      </c>
      <c r="K163" s="203">
        <f t="shared" si="410"/>
        <v>0</v>
      </c>
      <c r="L163" s="71">
        <v>0</v>
      </c>
      <c r="M163" s="167">
        <f t="shared" si="411"/>
        <v>0</v>
      </c>
      <c r="N163" s="223">
        <f t="shared" si="412"/>
        <v>0</v>
      </c>
      <c r="O163" s="71"/>
      <c r="P163" s="161"/>
      <c r="Q163" s="161"/>
      <c r="R163" s="71"/>
      <c r="S163" s="167">
        <f t="shared" si="413"/>
        <v>0</v>
      </c>
      <c r="T163" s="203">
        <f t="shared" si="414"/>
        <v>0</v>
      </c>
      <c r="U163" s="213">
        <f t="shared" si="405"/>
        <v>0</v>
      </c>
      <c r="V163" s="199">
        <f t="shared" si="406"/>
        <v>0</v>
      </c>
      <c r="X163" s="71">
        <f>'Ανάλυση για νέους πελάτες'!D121</f>
        <v>1</v>
      </c>
      <c r="Y163" s="167">
        <f t="shared" si="407"/>
        <v>1</v>
      </c>
      <c r="Z163" s="203">
        <f t="shared" si="408"/>
        <v>0</v>
      </c>
      <c r="AA163" s="71">
        <f>'Ανάλυση για νέους πελάτες'!E121</f>
        <v>0</v>
      </c>
      <c r="AB163" s="167">
        <f t="shared" si="415"/>
        <v>1</v>
      </c>
      <c r="AC163" s="223">
        <f t="shared" si="416"/>
        <v>0</v>
      </c>
      <c r="AD163" s="71">
        <f>'Ανάλυση για νέους πελάτες'!F121</f>
        <v>0</v>
      </c>
      <c r="AE163" s="167">
        <f t="shared" si="417"/>
        <v>1</v>
      </c>
      <c r="AF163" s="203">
        <f t="shared" si="418"/>
        <v>0</v>
      </c>
      <c r="AG163" s="71">
        <f>'Ανάλυση για νέους πελάτες'!G121</f>
        <v>0</v>
      </c>
      <c r="AH163" s="167">
        <f t="shared" si="419"/>
        <v>1</v>
      </c>
      <c r="AI163" s="223">
        <f t="shared" si="420"/>
        <v>0</v>
      </c>
      <c r="AJ163" s="71">
        <f>'Ανάλυση για νέους πελάτες'!H121</f>
        <v>0</v>
      </c>
      <c r="AK163" s="167">
        <f t="shared" si="421"/>
        <v>1</v>
      </c>
      <c r="AL163" s="203">
        <f t="shared" si="422"/>
        <v>0</v>
      </c>
      <c r="AM163" s="198">
        <f t="shared" si="423"/>
        <v>1</v>
      </c>
      <c r="AN163" s="199">
        <f t="shared" si="424"/>
        <v>0</v>
      </c>
    </row>
    <row r="164" spans="2:40" ht="16.5" customHeight="1" outlineLevel="1" x14ac:dyDescent="0.25">
      <c r="B164" s="52" t="s">
        <v>307</v>
      </c>
      <c r="C164" s="64"/>
      <c r="D164" s="71">
        <v>0</v>
      </c>
      <c r="E164" s="71"/>
      <c r="F164" s="71"/>
      <c r="G164" s="167"/>
      <c r="H164" s="223">
        <f t="shared" si="404"/>
        <v>0</v>
      </c>
      <c r="I164" s="71"/>
      <c r="J164" s="167"/>
      <c r="K164" s="203">
        <f t="shared" si="410"/>
        <v>0</v>
      </c>
      <c r="L164" s="71"/>
      <c r="M164" s="167"/>
      <c r="N164" s="223">
        <f t="shared" si="412"/>
        <v>0</v>
      </c>
      <c r="O164" s="71"/>
      <c r="P164" s="161"/>
      <c r="Q164" s="161"/>
      <c r="R164" s="71"/>
      <c r="S164" s="167"/>
      <c r="T164" s="203">
        <f t="shared" si="414"/>
        <v>0</v>
      </c>
      <c r="U164" s="213"/>
      <c r="V164" s="199">
        <f t="shared" si="406"/>
        <v>0</v>
      </c>
      <c r="X164" s="71"/>
      <c r="Y164" s="167"/>
      <c r="Z164" s="203">
        <f t="shared" si="408"/>
        <v>0</v>
      </c>
      <c r="AA164" s="71"/>
      <c r="AB164" s="167"/>
      <c r="AC164" s="223">
        <f t="shared" si="416"/>
        <v>0</v>
      </c>
      <c r="AD164" s="71"/>
      <c r="AE164" s="167"/>
      <c r="AF164" s="203">
        <f t="shared" si="418"/>
        <v>0</v>
      </c>
      <c r="AG164" s="71"/>
      <c r="AH164" s="167"/>
      <c r="AI164" s="223">
        <f t="shared" si="420"/>
        <v>0</v>
      </c>
      <c r="AJ164" s="71"/>
      <c r="AK164" s="167"/>
      <c r="AL164" s="203">
        <f t="shared" si="422"/>
        <v>0</v>
      </c>
      <c r="AM164" s="198"/>
      <c r="AN164" s="199">
        <f t="shared" si="424"/>
        <v>0</v>
      </c>
    </row>
    <row r="165" spans="2:40" ht="16.5" customHeight="1" outlineLevel="1" x14ac:dyDescent="0.25">
      <c r="B165" s="52" t="s">
        <v>304</v>
      </c>
      <c r="C165" s="64"/>
      <c r="D165" s="71">
        <v>0</v>
      </c>
      <c r="E165" s="71"/>
      <c r="F165" s="71"/>
      <c r="G165" s="167"/>
      <c r="H165" s="223">
        <f t="shared" si="404"/>
        <v>0</v>
      </c>
      <c r="I165" s="71"/>
      <c r="J165" s="167"/>
      <c r="K165" s="203">
        <f t="shared" si="410"/>
        <v>0</v>
      </c>
      <c r="L165" s="71"/>
      <c r="M165" s="167"/>
      <c r="N165" s="223">
        <f t="shared" si="412"/>
        <v>0</v>
      </c>
      <c r="O165" s="71"/>
      <c r="P165" s="161"/>
      <c r="Q165" s="161"/>
      <c r="R165" s="71"/>
      <c r="S165" s="167"/>
      <c r="T165" s="203">
        <f t="shared" si="414"/>
        <v>0</v>
      </c>
      <c r="U165" s="213"/>
      <c r="V165" s="199">
        <f t="shared" si="406"/>
        <v>0</v>
      </c>
      <c r="X165" s="71"/>
      <c r="Y165" s="167"/>
      <c r="Z165" s="203">
        <f t="shared" si="408"/>
        <v>0</v>
      </c>
      <c r="AA165" s="71"/>
      <c r="AB165" s="167"/>
      <c r="AC165" s="223">
        <f t="shared" si="416"/>
        <v>0</v>
      </c>
      <c r="AD165" s="71"/>
      <c r="AE165" s="167"/>
      <c r="AF165" s="203">
        <f t="shared" si="418"/>
        <v>0</v>
      </c>
      <c r="AG165" s="71"/>
      <c r="AH165" s="167"/>
      <c r="AI165" s="223">
        <f t="shared" si="420"/>
        <v>0</v>
      </c>
      <c r="AJ165" s="71"/>
      <c r="AK165" s="167"/>
      <c r="AL165" s="203">
        <f t="shared" si="422"/>
        <v>0</v>
      </c>
      <c r="AM165" s="198"/>
      <c r="AN165" s="199">
        <f t="shared" si="424"/>
        <v>0</v>
      </c>
    </row>
    <row r="166" spans="2:40" ht="16.5" customHeight="1" outlineLevel="1" x14ac:dyDescent="0.25">
      <c r="B166" s="52" t="s">
        <v>305</v>
      </c>
      <c r="C166" s="64"/>
      <c r="D166" s="71">
        <v>0</v>
      </c>
      <c r="E166" s="71"/>
      <c r="F166" s="71"/>
      <c r="G166" s="167"/>
      <c r="H166" s="223">
        <f t="shared" si="404"/>
        <v>0</v>
      </c>
      <c r="I166" s="71"/>
      <c r="J166" s="167"/>
      <c r="K166" s="203">
        <f t="shared" si="410"/>
        <v>0</v>
      </c>
      <c r="L166" s="71"/>
      <c r="M166" s="167"/>
      <c r="N166" s="223">
        <f t="shared" si="412"/>
        <v>0</v>
      </c>
      <c r="O166" s="71"/>
      <c r="P166" s="161"/>
      <c r="Q166" s="161"/>
      <c r="R166" s="71"/>
      <c r="S166" s="167"/>
      <c r="T166" s="203">
        <f t="shared" si="414"/>
        <v>0</v>
      </c>
      <c r="U166" s="213"/>
      <c r="V166" s="199">
        <f t="shared" si="406"/>
        <v>0</v>
      </c>
      <c r="X166" s="71"/>
      <c r="Y166" s="167"/>
      <c r="Z166" s="203">
        <f t="shared" si="408"/>
        <v>0</v>
      </c>
      <c r="AA166" s="71"/>
      <c r="AB166" s="167"/>
      <c r="AC166" s="223">
        <f t="shared" si="416"/>
        <v>0</v>
      </c>
      <c r="AD166" s="71"/>
      <c r="AE166" s="167"/>
      <c r="AF166" s="203">
        <f t="shared" si="418"/>
        <v>0</v>
      </c>
      <c r="AG166" s="71"/>
      <c r="AH166" s="167"/>
      <c r="AI166" s="223">
        <f t="shared" si="420"/>
        <v>0</v>
      </c>
      <c r="AJ166" s="71"/>
      <c r="AK166" s="167"/>
      <c r="AL166" s="203">
        <f t="shared" si="422"/>
        <v>0</v>
      </c>
      <c r="AM166" s="198"/>
      <c r="AN166" s="199">
        <f t="shared" si="424"/>
        <v>0</v>
      </c>
    </row>
    <row r="167" spans="2:40" ht="16.5" customHeight="1" outlineLevel="1" x14ac:dyDescent="0.25">
      <c r="B167" s="52" t="s">
        <v>306</v>
      </c>
      <c r="C167" s="64"/>
      <c r="D167" s="71">
        <v>0</v>
      </c>
      <c r="E167" s="71"/>
      <c r="F167" s="71"/>
      <c r="G167" s="167"/>
      <c r="H167" s="223">
        <f t="shared" si="404"/>
        <v>0</v>
      </c>
      <c r="I167" s="71"/>
      <c r="J167" s="167"/>
      <c r="K167" s="203">
        <f t="shared" si="410"/>
        <v>0</v>
      </c>
      <c r="L167" s="71"/>
      <c r="M167" s="167"/>
      <c r="N167" s="223">
        <f t="shared" si="412"/>
        <v>0</v>
      </c>
      <c r="O167" s="71"/>
      <c r="P167" s="161"/>
      <c r="Q167" s="161"/>
      <c r="R167" s="71"/>
      <c r="S167" s="167"/>
      <c r="T167" s="203">
        <f t="shared" si="414"/>
        <v>0</v>
      </c>
      <c r="U167" s="213"/>
      <c r="V167" s="199">
        <f t="shared" si="406"/>
        <v>0</v>
      </c>
      <c r="X167" s="71"/>
      <c r="Y167" s="167"/>
      <c r="Z167" s="203">
        <f t="shared" si="408"/>
        <v>0</v>
      </c>
      <c r="AA167" s="71"/>
      <c r="AB167" s="167"/>
      <c r="AC167" s="223">
        <f t="shared" si="416"/>
        <v>0</v>
      </c>
      <c r="AD167" s="71"/>
      <c r="AE167" s="167"/>
      <c r="AF167" s="203">
        <f t="shared" si="418"/>
        <v>0</v>
      </c>
      <c r="AG167" s="71"/>
      <c r="AH167" s="167"/>
      <c r="AI167" s="223">
        <f t="shared" si="420"/>
        <v>0</v>
      </c>
      <c r="AJ167" s="71"/>
      <c r="AK167" s="167"/>
      <c r="AL167" s="203">
        <f t="shared" si="422"/>
        <v>0</v>
      </c>
      <c r="AM167" s="198"/>
      <c r="AN167" s="199">
        <f t="shared" si="424"/>
        <v>0</v>
      </c>
    </row>
    <row r="168" spans="2:40" ht="16.5" customHeight="1" outlineLevel="1" x14ac:dyDescent="0.25">
      <c r="B168" s="52" t="s">
        <v>308</v>
      </c>
      <c r="C168" s="64"/>
      <c r="D168" s="71">
        <v>0</v>
      </c>
      <c r="E168" s="71"/>
      <c r="F168" s="71"/>
      <c r="G168" s="167"/>
      <c r="H168" s="223">
        <f t="shared" si="404"/>
        <v>0</v>
      </c>
      <c r="I168" s="71"/>
      <c r="J168" s="167"/>
      <c r="K168" s="203">
        <f t="shared" si="410"/>
        <v>0</v>
      </c>
      <c r="L168" s="71"/>
      <c r="M168" s="167"/>
      <c r="N168" s="223">
        <f t="shared" si="412"/>
        <v>0</v>
      </c>
      <c r="O168" s="71"/>
      <c r="P168" s="161"/>
      <c r="Q168" s="161"/>
      <c r="R168" s="71"/>
      <c r="S168" s="167"/>
      <c r="T168" s="203">
        <f t="shared" si="414"/>
        <v>0</v>
      </c>
      <c r="U168" s="213"/>
      <c r="V168" s="199">
        <f t="shared" si="406"/>
        <v>0</v>
      </c>
      <c r="X168" s="71"/>
      <c r="Y168" s="167"/>
      <c r="Z168" s="203">
        <f t="shared" si="408"/>
        <v>0</v>
      </c>
      <c r="AA168" s="71"/>
      <c r="AB168" s="167"/>
      <c r="AC168" s="223">
        <f t="shared" si="416"/>
        <v>0</v>
      </c>
      <c r="AD168" s="71"/>
      <c r="AE168" s="167"/>
      <c r="AF168" s="203">
        <f t="shared" si="418"/>
        <v>0</v>
      </c>
      <c r="AG168" s="71"/>
      <c r="AH168" s="167"/>
      <c r="AI168" s="223">
        <f t="shared" si="420"/>
        <v>0</v>
      </c>
      <c r="AJ168" s="71"/>
      <c r="AK168" s="167"/>
      <c r="AL168" s="203">
        <f t="shared" si="422"/>
        <v>0</v>
      </c>
      <c r="AM168" s="198"/>
      <c r="AN168" s="199">
        <f t="shared" si="424"/>
        <v>0</v>
      </c>
    </row>
    <row r="169" spans="2:40" ht="16.5" customHeight="1" outlineLevel="1" x14ac:dyDescent="0.25">
      <c r="B169" s="52"/>
      <c r="C169" s="64"/>
      <c r="D169" s="71">
        <v>0</v>
      </c>
      <c r="E169" s="71"/>
      <c r="F169" s="71"/>
      <c r="G169" s="167"/>
      <c r="H169" s="223">
        <f t="shared" si="404"/>
        <v>0</v>
      </c>
      <c r="I169" s="71"/>
      <c r="J169" s="167"/>
      <c r="K169" s="203">
        <f t="shared" si="410"/>
        <v>0</v>
      </c>
      <c r="L169" s="71"/>
      <c r="M169" s="167"/>
      <c r="N169" s="223">
        <f t="shared" si="412"/>
        <v>0</v>
      </c>
      <c r="O169" s="71"/>
      <c r="P169" s="161"/>
      <c r="Q169" s="161"/>
      <c r="R169" s="71"/>
      <c r="S169" s="167"/>
      <c r="T169" s="203">
        <f t="shared" si="414"/>
        <v>0</v>
      </c>
      <c r="U169" s="213"/>
      <c r="V169" s="199">
        <f t="shared" si="406"/>
        <v>0</v>
      </c>
      <c r="X169" s="71"/>
      <c r="Y169" s="167"/>
      <c r="Z169" s="203">
        <f t="shared" si="408"/>
        <v>0</v>
      </c>
      <c r="AA169" s="71"/>
      <c r="AB169" s="167"/>
      <c r="AC169" s="223">
        <f t="shared" si="416"/>
        <v>0</v>
      </c>
      <c r="AD169" s="71"/>
      <c r="AE169" s="167"/>
      <c r="AF169" s="203">
        <f t="shared" si="418"/>
        <v>0</v>
      </c>
      <c r="AG169" s="71"/>
      <c r="AH169" s="167"/>
      <c r="AI169" s="223">
        <f t="shared" si="420"/>
        <v>0</v>
      </c>
      <c r="AJ169" s="71"/>
      <c r="AK169" s="167"/>
      <c r="AL169" s="203">
        <f t="shared" si="422"/>
        <v>0</v>
      </c>
      <c r="AM169" s="198"/>
      <c r="AN169" s="199">
        <f t="shared" si="424"/>
        <v>0</v>
      </c>
    </row>
    <row r="170" spans="2:40" ht="15" customHeight="1" outlineLevel="1" x14ac:dyDescent="0.25">
      <c r="B170" s="349" t="s">
        <v>90</v>
      </c>
      <c r="C170" s="350"/>
      <c r="D170" s="350"/>
      <c r="E170" s="350"/>
      <c r="F170" s="350"/>
      <c r="G170" s="350"/>
      <c r="H170" s="350"/>
      <c r="I170" s="350"/>
      <c r="J170" s="350"/>
      <c r="K170" s="350"/>
      <c r="L170" s="350"/>
      <c r="M170" s="350"/>
      <c r="N170" s="350"/>
      <c r="O170" s="350"/>
      <c r="P170" s="350"/>
      <c r="Q170" s="350"/>
      <c r="R170" s="350"/>
      <c r="S170" s="350"/>
      <c r="T170" s="350"/>
      <c r="U170" s="350"/>
      <c r="V170" s="350"/>
      <c r="W170" s="350"/>
      <c r="X170" s="350"/>
      <c r="Y170" s="350"/>
      <c r="Z170" s="350"/>
      <c r="AA170" s="350"/>
      <c r="AB170" s="350"/>
      <c r="AC170" s="350"/>
      <c r="AD170" s="350"/>
      <c r="AE170" s="350"/>
      <c r="AF170" s="350"/>
      <c r="AG170" s="350"/>
      <c r="AH170" s="350"/>
      <c r="AI170" s="350"/>
      <c r="AJ170" s="350"/>
      <c r="AK170" s="350"/>
      <c r="AL170" s="350"/>
      <c r="AM170" s="350"/>
      <c r="AN170" s="397"/>
    </row>
    <row r="171" spans="2:40" ht="15" customHeight="1" outlineLevel="1" x14ac:dyDescent="0.25">
      <c r="B171" s="52" t="s">
        <v>82</v>
      </c>
      <c r="C171" s="49" t="s">
        <v>22</v>
      </c>
      <c r="D171" s="207">
        <f>SUM(D155:D169)</f>
        <v>0</v>
      </c>
      <c r="E171" s="208">
        <f>SUM(E155:E169)</f>
        <v>0</v>
      </c>
      <c r="F171" s="225">
        <f>SUM(F155:F169)</f>
        <v>0</v>
      </c>
      <c r="G171" s="172">
        <f>SUM(G155:G169)</f>
        <v>0</v>
      </c>
      <c r="H171" s="224">
        <f>IFERROR((G171-E171)/E171,0)</f>
        <v>0</v>
      </c>
      <c r="I171" s="207">
        <f>SUM(I155:I169)</f>
        <v>0</v>
      </c>
      <c r="J171" s="172">
        <f>SUM(J155:J169)</f>
        <v>0</v>
      </c>
      <c r="K171" s="202">
        <f t="shared" ref="K171" si="425">IFERROR((J171-G171)/G171,0)</f>
        <v>0</v>
      </c>
      <c r="L171" s="225">
        <f>SUM(L155:L169)</f>
        <v>0</v>
      </c>
      <c r="M171" s="172">
        <f>SUM(M155:M169)</f>
        <v>0</v>
      </c>
      <c r="N171" s="224">
        <f t="shared" ref="N171" si="426">IFERROR((M171-J171)/J171,0)</f>
        <v>0</v>
      </c>
      <c r="O171" s="207">
        <f>SUM(O155:O169)</f>
        <v>0</v>
      </c>
      <c r="P171" s="161"/>
      <c r="Q171" s="161"/>
      <c r="R171" s="207">
        <f>SUM(R155:R169)</f>
        <v>0</v>
      </c>
      <c r="S171" s="172">
        <f>SUM(S155:S169)</f>
        <v>0</v>
      </c>
      <c r="T171" s="202">
        <f t="shared" ref="T171" si="427">IFERROR((S171-M171)/M171,0)</f>
        <v>0</v>
      </c>
      <c r="U171" s="215">
        <f>SUM(U155:U169)</f>
        <v>0</v>
      </c>
      <c r="V171" s="192">
        <f>IFERROR((S171/E171)^(1/4)-1,0)</f>
        <v>0</v>
      </c>
      <c r="X171" s="188">
        <f>SUM(X155:X169)</f>
        <v>4</v>
      </c>
      <c r="Y171" s="215">
        <f>SUM(Y155:Y169)</f>
        <v>4</v>
      </c>
      <c r="Z171" s="202">
        <f>IFERROR((Y171-S171)/S171,0)</f>
        <v>0</v>
      </c>
      <c r="AA171" s="188">
        <f>SUM(AA155:AA169)</f>
        <v>4</v>
      </c>
      <c r="AB171" s="215">
        <f>SUM(AB155:AB169)</f>
        <v>8</v>
      </c>
      <c r="AC171" s="217">
        <f>IFERROR((AB171-Y171)/Y171,0)</f>
        <v>1</v>
      </c>
      <c r="AD171" s="188">
        <f>SUM(AD155:AD169)</f>
        <v>0</v>
      </c>
      <c r="AE171" s="215">
        <f>SUM(AE155:AE169)</f>
        <v>8</v>
      </c>
      <c r="AF171" s="216">
        <f>IFERROR((AE171-AB171)/AB171,0)</f>
        <v>0</v>
      </c>
      <c r="AG171" s="188">
        <f>SUM(AG155:AG169)</f>
        <v>0</v>
      </c>
      <c r="AH171" s="215">
        <f>SUM(AH155:AH169)</f>
        <v>8</v>
      </c>
      <c r="AI171" s="217">
        <f>IFERROR((AH171-AE171)/AE171,0)</f>
        <v>0</v>
      </c>
      <c r="AJ171" s="188">
        <f>SUM(AJ155:AJ169)</f>
        <v>1</v>
      </c>
      <c r="AK171" s="215">
        <f>SUM(AK155:AK169)</f>
        <v>9</v>
      </c>
      <c r="AL171" s="191">
        <f>IFERROR((AK171-AH171)/AH171,0)</f>
        <v>0.125</v>
      </c>
      <c r="AM171" s="215">
        <f>SUM(AM155:AM169)</f>
        <v>9</v>
      </c>
      <c r="AN171" s="199">
        <f t="shared" ref="AN171" si="428">IFERROR((AK171/Y171)^(1/4)-1,0)</f>
        <v>0.22474487139158894</v>
      </c>
    </row>
  </sheetData>
  <mergeCells count="143">
    <mergeCell ref="AG130:AI130"/>
    <mergeCell ref="AJ130:AL130"/>
    <mergeCell ref="AM130:AN130"/>
    <mergeCell ref="D152:Q152"/>
    <mergeCell ref="X152:AN152"/>
    <mergeCell ref="D153:E153"/>
    <mergeCell ref="F153:H153"/>
    <mergeCell ref="I153:K153"/>
    <mergeCell ref="L153:N153"/>
    <mergeCell ref="O153:Q153"/>
    <mergeCell ref="X153:Z153"/>
    <mergeCell ref="AA153:AC153"/>
    <mergeCell ref="AD153:AF153"/>
    <mergeCell ref="AG153:AI153"/>
    <mergeCell ref="AJ153:AL153"/>
    <mergeCell ref="AM153:AN153"/>
    <mergeCell ref="L130:N130"/>
    <mergeCell ref="O130:Q130"/>
    <mergeCell ref="X130:Z130"/>
    <mergeCell ref="AA130:AC130"/>
    <mergeCell ref="AD130:AF130"/>
    <mergeCell ref="U129:V130"/>
    <mergeCell ref="D129:Q129"/>
    <mergeCell ref="X129:AN129"/>
    <mergeCell ref="AM84:AN84"/>
    <mergeCell ref="D106:Q106"/>
    <mergeCell ref="X106:AN106"/>
    <mergeCell ref="AJ107:AL107"/>
    <mergeCell ref="AM107:AN107"/>
    <mergeCell ref="D84:E84"/>
    <mergeCell ref="F84:H84"/>
    <mergeCell ref="I84:K84"/>
    <mergeCell ref="L84:N84"/>
    <mergeCell ref="O84:Q84"/>
    <mergeCell ref="X84:Z84"/>
    <mergeCell ref="AA84:AC84"/>
    <mergeCell ref="AD84:AF84"/>
    <mergeCell ref="AG84:AI84"/>
    <mergeCell ref="D107:E107"/>
    <mergeCell ref="F107:H107"/>
    <mergeCell ref="I107:K107"/>
    <mergeCell ref="L107:N107"/>
    <mergeCell ref="O107:Q107"/>
    <mergeCell ref="X107:Z107"/>
    <mergeCell ref="AA107:AC107"/>
    <mergeCell ref="AD107:AF107"/>
    <mergeCell ref="AG107:AI107"/>
    <mergeCell ref="D11:Q11"/>
    <mergeCell ref="R11:T11"/>
    <mergeCell ref="X11:AN11"/>
    <mergeCell ref="B11:B13"/>
    <mergeCell ref="C11:C13"/>
    <mergeCell ref="U11:V12"/>
    <mergeCell ref="D35:Q35"/>
    <mergeCell ref="X35:AN35"/>
    <mergeCell ref="D36:E36"/>
    <mergeCell ref="F36:H36"/>
    <mergeCell ref="I36:K36"/>
    <mergeCell ref="L36:N36"/>
    <mergeCell ref="O36:Q36"/>
    <mergeCell ref="X36:Z36"/>
    <mergeCell ref="AA36:AC36"/>
    <mergeCell ref="AD36:AF36"/>
    <mergeCell ref="AG36:AI36"/>
    <mergeCell ref="AJ36:AL36"/>
    <mergeCell ref="AM36:AN36"/>
    <mergeCell ref="R36:T36"/>
    <mergeCell ref="L12:N12"/>
    <mergeCell ref="R12:T12"/>
    <mergeCell ref="X12:Z12"/>
    <mergeCell ref="B29:AN29"/>
    <mergeCell ref="D130:E130"/>
    <mergeCell ref="F130:H130"/>
    <mergeCell ref="I130:K130"/>
    <mergeCell ref="R84:T84"/>
    <mergeCell ref="U35:V36"/>
    <mergeCell ref="U59:V60"/>
    <mergeCell ref="U83:V84"/>
    <mergeCell ref="D59:Q59"/>
    <mergeCell ref="X59:AN59"/>
    <mergeCell ref="D60:E60"/>
    <mergeCell ref="F60:H60"/>
    <mergeCell ref="I60:K60"/>
    <mergeCell ref="L60:N60"/>
    <mergeCell ref="O60:Q60"/>
    <mergeCell ref="X60:Z60"/>
    <mergeCell ref="AA60:AC60"/>
    <mergeCell ref="AD60:AF60"/>
    <mergeCell ref="AG60:AI60"/>
    <mergeCell ref="AJ60:AL60"/>
    <mergeCell ref="AM60:AN60"/>
    <mergeCell ref="D83:Q83"/>
    <mergeCell ref="X83:AN83"/>
    <mergeCell ref="R60:T60"/>
    <mergeCell ref="AJ84:AL84"/>
    <mergeCell ref="B170:AN170"/>
    <mergeCell ref="B53:AN53"/>
    <mergeCell ref="B77:AN77"/>
    <mergeCell ref="B101:AN101"/>
    <mergeCell ref="B124:AN124"/>
    <mergeCell ref="B147:AN147"/>
    <mergeCell ref="B35:B37"/>
    <mergeCell ref="C35:C37"/>
    <mergeCell ref="B83:B85"/>
    <mergeCell ref="C83:C85"/>
    <mergeCell ref="B59:B61"/>
    <mergeCell ref="C59:C61"/>
    <mergeCell ref="R59:T59"/>
    <mergeCell ref="R35:T35"/>
    <mergeCell ref="B106:B108"/>
    <mergeCell ref="C106:C108"/>
    <mergeCell ref="R106:T106"/>
    <mergeCell ref="R107:T107"/>
    <mergeCell ref="U106:V107"/>
    <mergeCell ref="R152:T152"/>
    <mergeCell ref="R153:T153"/>
    <mergeCell ref="U152:V153"/>
    <mergeCell ref="B129:B131"/>
    <mergeCell ref="R130:T130"/>
    <mergeCell ref="C2:G2"/>
    <mergeCell ref="R129:T129"/>
    <mergeCell ref="B9:AN9"/>
    <mergeCell ref="AM12:AN12"/>
    <mergeCell ref="AA12:AC12"/>
    <mergeCell ref="AD12:AF12"/>
    <mergeCell ref="AG12:AI12"/>
    <mergeCell ref="AJ12:AL12"/>
    <mergeCell ref="B152:B154"/>
    <mergeCell ref="C152:C154"/>
    <mergeCell ref="B5:I5"/>
    <mergeCell ref="J2:L2"/>
    <mergeCell ref="B33:AN33"/>
    <mergeCell ref="B57:AN57"/>
    <mergeCell ref="B81:AN81"/>
    <mergeCell ref="B104:AN104"/>
    <mergeCell ref="B127:AN127"/>
    <mergeCell ref="B150:AN150"/>
    <mergeCell ref="R83:T83"/>
    <mergeCell ref="C129:C131"/>
    <mergeCell ref="O12:Q12"/>
    <mergeCell ref="D12:E12"/>
    <mergeCell ref="F12:H12"/>
    <mergeCell ref="I12:K12"/>
  </mergeCells>
  <hyperlinks>
    <hyperlink ref="J2" location="'Αρχική σελίδα'!A1" display="Πίσω στην αρχική σελίδα" xr:uid="{0EB2808E-0958-4DAB-B1B1-EA211949EE39}"/>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pageSetUpPr fitToPage="1"/>
  </sheetPr>
  <dimension ref="A2:AX172"/>
  <sheetViews>
    <sheetView showGridLines="0" zoomScale="90" zoomScaleNormal="90" workbookViewId="0">
      <pane xSplit="3" ySplit="36" topLeftCell="D152" activePane="bottomRight" state="frozen"/>
      <selection pane="topRight" activeCell="D1" sqref="D1"/>
      <selection pane="bottomLeft" activeCell="A31" sqref="A31"/>
      <selection pane="bottomRight" activeCell="C162" sqref="C162:C166"/>
    </sheetView>
  </sheetViews>
  <sheetFormatPr defaultRowHeight="15" outlineLevelRow="1" x14ac:dyDescent="0.25"/>
  <cols>
    <col min="1" max="1" width="2.85546875" customWidth="1"/>
    <col min="2" max="2" width="28.28515625" customWidth="1"/>
    <col min="3" max="11" width="13.7109375" customWidth="1"/>
    <col min="12" max="12" width="7.5703125" customWidth="1"/>
    <col min="13" max="14" width="13.7109375" customWidth="1"/>
    <col min="15" max="15" width="13.28515625" customWidth="1"/>
    <col min="16" max="16" width="12" customWidth="1"/>
    <col min="17" max="17" width="14.140625" customWidth="1"/>
    <col min="18" max="21" width="13.7109375" customWidth="1"/>
    <col min="22" max="22" width="18.7109375" customWidth="1"/>
    <col min="23" max="23" width="2.140625" customWidth="1"/>
    <col min="24" max="49" width="13.7109375" customWidth="1"/>
    <col min="50" max="50" width="18.7109375" customWidth="1"/>
  </cols>
  <sheetData>
    <row r="2" spans="1:50" ht="18.75" x14ac:dyDescent="0.3">
      <c r="B2" s="1" t="s">
        <v>1</v>
      </c>
      <c r="C2" s="353" t="str">
        <f>'Αρχική σελίδα'!C3</f>
        <v>HENGAS</v>
      </c>
      <c r="D2" s="353"/>
      <c r="E2" s="353"/>
      <c r="F2" s="353"/>
      <c r="G2" s="353"/>
      <c r="H2" s="353"/>
      <c r="J2" s="354" t="s">
        <v>213</v>
      </c>
      <c r="K2" s="354"/>
      <c r="L2" s="354"/>
    </row>
    <row r="3" spans="1:50" ht="18.75" x14ac:dyDescent="0.3">
      <c r="B3" s="2" t="s">
        <v>2</v>
      </c>
      <c r="C3" s="111">
        <f>'Αρχική σελίδα'!C4</f>
        <v>2023</v>
      </c>
      <c r="D3" s="48" t="s">
        <v>0</v>
      </c>
      <c r="E3" s="48">
        <f>C3+4</f>
        <v>2027</v>
      </c>
    </row>
    <row r="4" spans="1:50" ht="14.45" customHeight="1" x14ac:dyDescent="0.3">
      <c r="C4" s="2"/>
      <c r="D4" s="48"/>
      <c r="E4" s="48"/>
    </row>
    <row r="5" spans="1:50" ht="72" customHeight="1" x14ac:dyDescent="0.25">
      <c r="B5" s="355" t="s">
        <v>279</v>
      </c>
      <c r="C5" s="355"/>
      <c r="D5" s="355"/>
      <c r="E5" s="355"/>
      <c r="F5" s="355"/>
      <c r="G5" s="355"/>
      <c r="H5" s="355"/>
      <c r="I5" s="355"/>
    </row>
    <row r="6" spans="1:50" x14ac:dyDescent="0.25">
      <c r="B6" s="271"/>
      <c r="C6" s="271"/>
      <c r="D6" s="271"/>
      <c r="E6" s="271"/>
      <c r="F6" s="271"/>
      <c r="G6" s="271"/>
      <c r="H6" s="271"/>
    </row>
    <row r="7" spans="1:50" ht="18.75" x14ac:dyDescent="0.3">
      <c r="B7" s="112"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(2018 - 2022) και εξέλιξη σύμφωνα με το Πρόγραμμα Ανάπτυξης  2023 - 2027</v>
      </c>
      <c r="C7" s="113"/>
      <c r="D7" s="113"/>
      <c r="E7" s="113"/>
      <c r="F7" s="113"/>
      <c r="G7" s="113"/>
      <c r="H7" s="113"/>
      <c r="I7" s="113"/>
      <c r="J7" s="114"/>
      <c r="K7" s="110"/>
    </row>
    <row r="8" spans="1:50" ht="18.75" x14ac:dyDescent="0.3">
      <c r="B8" s="276"/>
      <c r="C8" s="57"/>
      <c r="D8" s="57"/>
      <c r="E8" s="57"/>
      <c r="F8" s="57"/>
      <c r="G8" s="57"/>
      <c r="H8" s="57"/>
      <c r="I8" s="57"/>
      <c r="J8" s="23"/>
    </row>
    <row r="9" spans="1:50" ht="15.75" x14ac:dyDescent="0.25">
      <c r="B9" s="352" t="s">
        <v>172</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row>
    <row r="10" spans="1:50" ht="5.45" hidden="1"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50" hidden="1" outlineLevel="1" x14ac:dyDescent="0.25">
      <c r="B11" s="400"/>
      <c r="C11" s="385" t="s">
        <v>20</v>
      </c>
      <c r="D11" s="372" t="s">
        <v>262</v>
      </c>
      <c r="E11" s="373"/>
      <c r="F11" s="373"/>
      <c r="G11" s="373"/>
      <c r="H11" s="373"/>
      <c r="I11" s="373"/>
      <c r="J11" s="373"/>
      <c r="K11" s="373"/>
      <c r="L11" s="373"/>
      <c r="M11" s="373"/>
      <c r="N11" s="373"/>
      <c r="O11" s="373"/>
      <c r="P11" s="373"/>
      <c r="Q11" s="374"/>
      <c r="R11" s="372" t="s">
        <v>277</v>
      </c>
      <c r="S11" s="373"/>
      <c r="T11" s="374"/>
      <c r="U11" s="388" t="str">
        <f xml:space="preserve"> D12&amp;" - "&amp;R12</f>
        <v>2018 - 2022</v>
      </c>
      <c r="V11" s="398"/>
      <c r="X11" s="372" t="s">
        <v>261</v>
      </c>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4"/>
    </row>
    <row r="12" spans="1:50" hidden="1" outlineLevel="1" x14ac:dyDescent="0.25">
      <c r="B12" s="401"/>
      <c r="C12" s="386"/>
      <c r="D12" s="372">
        <f>$C$3-5</f>
        <v>2018</v>
      </c>
      <c r="E12" s="374"/>
      <c r="F12" s="372">
        <f>$C$3-4</f>
        <v>2019</v>
      </c>
      <c r="G12" s="373"/>
      <c r="H12" s="374"/>
      <c r="I12" s="372">
        <f>$C$3-3</f>
        <v>2020</v>
      </c>
      <c r="J12" s="373"/>
      <c r="K12" s="374"/>
      <c r="L12" s="372">
        <f>$C$3-2</f>
        <v>2021</v>
      </c>
      <c r="M12" s="373"/>
      <c r="N12" s="374"/>
      <c r="O12" s="372" t="str">
        <f>$C$3-1&amp;""&amp;" ("&amp;"Σεπτ"&amp;")"</f>
        <v>2022 (Σεπτ)</v>
      </c>
      <c r="P12" s="373"/>
      <c r="Q12" s="374"/>
      <c r="R12" s="372">
        <f>$C$3-1</f>
        <v>2022</v>
      </c>
      <c r="S12" s="373"/>
      <c r="T12" s="374"/>
      <c r="U12" s="390"/>
      <c r="V12" s="399"/>
      <c r="X12" s="372">
        <f>$C$3</f>
        <v>2023</v>
      </c>
      <c r="Y12" s="373"/>
      <c r="Z12" s="373"/>
      <c r="AA12" s="373"/>
      <c r="AB12" s="374"/>
      <c r="AC12" s="372">
        <f>$C$3+1</f>
        <v>2024</v>
      </c>
      <c r="AD12" s="373"/>
      <c r="AE12" s="373"/>
      <c r="AF12" s="373"/>
      <c r="AG12" s="374"/>
      <c r="AH12" s="372">
        <f>$C$3+2</f>
        <v>2025</v>
      </c>
      <c r="AI12" s="373"/>
      <c r="AJ12" s="373"/>
      <c r="AK12" s="373"/>
      <c r="AL12" s="374"/>
      <c r="AM12" s="372">
        <f>$C$3+3</f>
        <v>2026</v>
      </c>
      <c r="AN12" s="373"/>
      <c r="AO12" s="373"/>
      <c r="AP12" s="373"/>
      <c r="AQ12" s="374"/>
      <c r="AR12" s="372">
        <f>$C$3+4</f>
        <v>2027</v>
      </c>
      <c r="AS12" s="373"/>
      <c r="AT12" s="373"/>
      <c r="AU12" s="373"/>
      <c r="AV12" s="374"/>
      <c r="AW12" s="376" t="str">
        <f>X12&amp;" - "&amp;AR12</f>
        <v>2023 - 2027</v>
      </c>
      <c r="AX12" s="392"/>
    </row>
    <row r="13" spans="1:50" ht="45" hidden="1" outlineLevel="1" x14ac:dyDescent="0.25">
      <c r="B13" s="402"/>
      <c r="C13" s="387"/>
      <c r="D13" s="67" t="s">
        <v>6</v>
      </c>
      <c r="E13" s="68" t="s">
        <v>7</v>
      </c>
      <c r="F13" s="67" t="s">
        <v>6</v>
      </c>
      <c r="G13" s="9" t="s">
        <v>7</v>
      </c>
      <c r="H13" s="68" t="s">
        <v>81</v>
      </c>
      <c r="I13" s="67" t="s">
        <v>6</v>
      </c>
      <c r="J13" s="9" t="s">
        <v>7</v>
      </c>
      <c r="K13" s="68" t="s">
        <v>81</v>
      </c>
      <c r="L13" s="67" t="s">
        <v>6</v>
      </c>
      <c r="M13" s="9" t="s">
        <v>7</v>
      </c>
      <c r="N13" s="68" t="s">
        <v>81</v>
      </c>
      <c r="O13" s="67" t="s">
        <v>6</v>
      </c>
      <c r="P13" s="9" t="s">
        <v>7</v>
      </c>
      <c r="Q13" s="68" t="s">
        <v>81</v>
      </c>
      <c r="R13" s="67" t="s">
        <v>6</v>
      </c>
      <c r="S13" s="9" t="s">
        <v>7</v>
      </c>
      <c r="T13" s="68" t="s">
        <v>81</v>
      </c>
      <c r="U13" s="67" t="s">
        <v>17</v>
      </c>
      <c r="V13" s="132" t="s">
        <v>83</v>
      </c>
      <c r="X13" s="67" t="s">
        <v>6</v>
      </c>
      <c r="Y13" s="117" t="s">
        <v>88</v>
      </c>
      <c r="Z13" s="117" t="s">
        <v>89</v>
      </c>
      <c r="AA13" s="9" t="s">
        <v>7</v>
      </c>
      <c r="AB13" s="68" t="s">
        <v>81</v>
      </c>
      <c r="AC13" s="67" t="s">
        <v>6</v>
      </c>
      <c r="AD13" s="117" t="s">
        <v>88</v>
      </c>
      <c r="AE13" s="117" t="s">
        <v>89</v>
      </c>
      <c r="AF13" s="9" t="s">
        <v>7</v>
      </c>
      <c r="AG13" s="68" t="s">
        <v>81</v>
      </c>
      <c r="AH13" s="67" t="s">
        <v>6</v>
      </c>
      <c r="AI13" s="117" t="s">
        <v>88</v>
      </c>
      <c r="AJ13" s="117" t="s">
        <v>89</v>
      </c>
      <c r="AK13" s="9" t="s">
        <v>7</v>
      </c>
      <c r="AL13" s="68" t="s">
        <v>81</v>
      </c>
      <c r="AM13" s="67" t="s">
        <v>6</v>
      </c>
      <c r="AN13" s="117" t="s">
        <v>88</v>
      </c>
      <c r="AO13" s="117" t="s">
        <v>89</v>
      </c>
      <c r="AP13" s="9" t="s">
        <v>7</v>
      </c>
      <c r="AQ13" s="68" t="s">
        <v>81</v>
      </c>
      <c r="AR13" s="67" t="s">
        <v>6</v>
      </c>
      <c r="AS13" s="117" t="s">
        <v>88</v>
      </c>
      <c r="AT13" s="117" t="s">
        <v>89</v>
      </c>
      <c r="AU13" s="9" t="s">
        <v>7</v>
      </c>
      <c r="AV13" s="68" t="s">
        <v>81</v>
      </c>
      <c r="AW13" s="67" t="s">
        <v>17</v>
      </c>
      <c r="AX13" s="132" t="s">
        <v>83</v>
      </c>
    </row>
    <row r="14" spans="1:50" hidden="1" outlineLevel="1" x14ac:dyDescent="0.25">
      <c r="B14" s="281" t="s">
        <v>283</v>
      </c>
      <c r="C14" s="65" t="s">
        <v>22</v>
      </c>
      <c r="D14" s="194">
        <f t="shared" ref="D14:F22" si="0">D38+D61+D84+D107+D130+D153</f>
        <v>0</v>
      </c>
      <c r="E14" s="195">
        <f t="shared" si="0"/>
        <v>0</v>
      </c>
      <c r="F14" s="194">
        <f t="shared" si="0"/>
        <v>0</v>
      </c>
      <c r="G14" s="196">
        <f t="shared" ref="G14:G22" si="1">E14+F14</f>
        <v>0</v>
      </c>
      <c r="H14" s="197">
        <f t="shared" ref="H14:H22" si="2">IFERROR((G14-E14)/E14,0)</f>
        <v>0</v>
      </c>
      <c r="I14" s="194">
        <f t="shared" ref="I14:I22" si="3">I38+I61+I84+I107+I130+I153</f>
        <v>0</v>
      </c>
      <c r="J14" s="196">
        <f t="shared" ref="J14:J22" si="4">G14+I14</f>
        <v>0</v>
      </c>
      <c r="K14" s="197">
        <f t="shared" ref="K14:K30" si="5">IFERROR((J14-G14)/G14,0)</f>
        <v>0</v>
      </c>
      <c r="L14" s="194">
        <f t="shared" ref="L14:L22" si="6">L38+L61+L84+L107+L130+L153</f>
        <v>0</v>
      </c>
      <c r="M14" s="196">
        <f t="shared" ref="M14:M22" si="7">J14+L14</f>
        <v>0</v>
      </c>
      <c r="N14" s="197">
        <f t="shared" ref="N14:N30" si="8">IFERROR((M14-J14)/J14,0)</f>
        <v>0</v>
      </c>
      <c r="O14" s="194">
        <f>O38+O61+O84+O107+O130+O153-O61</f>
        <v>30</v>
      </c>
      <c r="P14" s="155"/>
      <c r="Q14" s="156"/>
      <c r="R14" s="194">
        <f>R38+R61+R84+R107+R130+R153-R61</f>
        <v>30</v>
      </c>
      <c r="S14" s="196">
        <f t="shared" ref="S14:S22" si="9">M14+R14</f>
        <v>30</v>
      </c>
      <c r="T14" s="197">
        <f>IFERROR((S14-M14)/M14,0)</f>
        <v>0</v>
      </c>
      <c r="U14" s="200">
        <f t="shared" ref="U14:U22" si="10">D14+F14+I14+L14+R14</f>
        <v>30</v>
      </c>
      <c r="V14" s="201">
        <f t="shared" ref="V14:V22" si="11">IFERROR((S14/E14)^(1/4)-1,0)</f>
        <v>0</v>
      </c>
      <c r="X14" s="194">
        <f>X38+X84+X107+X130+X153</f>
        <v>153</v>
      </c>
      <c r="Y14" s="196">
        <f>Y38+Y84+Y107+Y130+Y153</f>
        <v>153</v>
      </c>
      <c r="Z14" s="196">
        <f>Z38+Z61+Z84+Z107+Z130+Z153</f>
        <v>0</v>
      </c>
      <c r="AA14" s="196">
        <f>AA38+AA61+AA84+AA107+AA130+AA153</f>
        <v>331</v>
      </c>
      <c r="AB14" s="205">
        <f t="shared" ref="AB14:AB22" si="12">IFERROR((AA14-S14)/S14,0)</f>
        <v>10.033333333333333</v>
      </c>
      <c r="AC14" s="194">
        <f t="shared" ref="AC14:AC27" si="13">AC38+AC84+AC107+AC130+AC153</f>
        <v>210</v>
      </c>
      <c r="AD14" s="196">
        <f>AD38+AD61+AD84+AD107+AD130+AD153</f>
        <v>395</v>
      </c>
      <c r="AE14" s="196">
        <f t="shared" ref="AE14:AE27" si="14">AE38+AE84+AE107+AE130+AE153</f>
        <v>0</v>
      </c>
      <c r="AF14" s="196">
        <f>AF38+AF61+AF84+AF107+AF130+AF153</f>
        <v>726</v>
      </c>
      <c r="AG14" s="205">
        <f t="shared" ref="AG14:AG22" si="15">IFERROR((AF14-AA14)/AA14,0)</f>
        <v>1.1933534743202416</v>
      </c>
      <c r="AH14" s="194">
        <f t="shared" ref="AH14:AH27" si="16">AH38+AH84+AH107+AH130+AH153</f>
        <v>105</v>
      </c>
      <c r="AI14" s="196">
        <f t="shared" ref="AI14:AI19" si="17">AI38+AI61+AI84+AI107+AI130+AI153</f>
        <v>210</v>
      </c>
      <c r="AJ14" s="196">
        <f t="shared" ref="AJ14:AJ27" si="18">AJ38+AJ84+AJ107+AJ130+AJ153</f>
        <v>0</v>
      </c>
      <c r="AK14" s="196">
        <f t="shared" ref="AK14:AK19" si="19">AK38+AK61+AK84+AK107+AK130+AK153</f>
        <v>936</v>
      </c>
      <c r="AL14" s="205">
        <f t="shared" ref="AL14:AL30" si="20">IFERROR((AK14-AF14)/AF14,0)</f>
        <v>0.28925619834710742</v>
      </c>
      <c r="AM14" s="194">
        <f t="shared" ref="AM14:AM27" si="21">AM38+AM84+AM107+AM130+AM153</f>
        <v>30</v>
      </c>
      <c r="AN14" s="196">
        <f t="shared" ref="AN14:AN19" si="22">AN38+AN61+AN84+AN107+AN130+AN153</f>
        <v>60</v>
      </c>
      <c r="AO14" s="196">
        <f t="shared" ref="AO14:AO27" si="23">AO38+AO84+AO107+AO130+AO153</f>
        <v>0</v>
      </c>
      <c r="AP14" s="196">
        <f t="shared" ref="AP14:AP19" si="24">AP38+AP61+AP84+AP107+AP130+AP153</f>
        <v>996</v>
      </c>
      <c r="AQ14" s="205">
        <f t="shared" ref="AQ14:AQ30" si="25">IFERROR((AP14-AK14)/AK14,0)</f>
        <v>6.4102564102564097E-2</v>
      </c>
      <c r="AR14" s="194">
        <f t="shared" ref="AR14:AR27" si="26">AR38+AR84+AR107+AR130+AR153</f>
        <v>16</v>
      </c>
      <c r="AS14" s="196">
        <f t="shared" ref="AS14:AS19" si="27">AS38+AS61+AS84+AS107+AS130+AS153</f>
        <v>32</v>
      </c>
      <c r="AT14" s="196">
        <f t="shared" ref="AT14:AT27" si="28">AT38+AT84+AT107+AT130+AT153</f>
        <v>0</v>
      </c>
      <c r="AU14" s="196">
        <f>AU38+AU61+AU84+AU107+AU130+AU153</f>
        <v>1028</v>
      </c>
      <c r="AV14" s="205">
        <f t="shared" ref="AV14:AV30" si="29">IFERROR((AU14-AP14)/AP14,0)</f>
        <v>3.2128514056224897E-2</v>
      </c>
      <c r="AW14" s="200">
        <f t="shared" ref="AW14:AW22" si="30">X14+AC14+AH14+AM14+AR14</f>
        <v>514</v>
      </c>
      <c r="AX14" s="201">
        <f t="shared" ref="AX14:AX30" si="31">IFERROR((AU14/AA14)^(1/4)-1,0)</f>
        <v>0.3275206341905379</v>
      </c>
    </row>
    <row r="15" spans="1:50" s="55" customFormat="1" hidden="1" outlineLevel="1" x14ac:dyDescent="0.25">
      <c r="A15"/>
      <c r="B15" s="52" t="s">
        <v>284</v>
      </c>
      <c r="C15" s="56" t="s">
        <v>22</v>
      </c>
      <c r="D15" s="187">
        <f t="shared" si="0"/>
        <v>0</v>
      </c>
      <c r="E15" s="187">
        <f t="shared" si="0"/>
        <v>0</v>
      </c>
      <c r="F15" s="187">
        <f t="shared" si="0"/>
        <v>0</v>
      </c>
      <c r="G15" s="196">
        <f t="shared" si="1"/>
        <v>0</v>
      </c>
      <c r="H15" s="197">
        <f t="shared" si="2"/>
        <v>0</v>
      </c>
      <c r="I15" s="187">
        <f t="shared" si="3"/>
        <v>0</v>
      </c>
      <c r="J15" s="187">
        <f t="shared" si="4"/>
        <v>0</v>
      </c>
      <c r="K15" s="197">
        <f t="shared" si="5"/>
        <v>0</v>
      </c>
      <c r="L15" s="187">
        <f t="shared" si="6"/>
        <v>0</v>
      </c>
      <c r="M15" s="187">
        <f t="shared" si="7"/>
        <v>0</v>
      </c>
      <c r="N15" s="197">
        <f t="shared" si="8"/>
        <v>0</v>
      </c>
      <c r="O15" s="187">
        <f t="shared" ref="O15:O22" si="32">O39+O62+O85+O108+O131+O154</f>
        <v>0</v>
      </c>
      <c r="P15" s="287"/>
      <c r="Q15" s="288"/>
      <c r="R15" s="187">
        <f t="shared" ref="R15:R22" si="33">R39+R62+R85+R108+R131+R154</f>
        <v>0</v>
      </c>
      <c r="S15" s="187">
        <f t="shared" si="9"/>
        <v>0</v>
      </c>
      <c r="T15" s="197">
        <f t="shared" ref="T15:T22" si="34">IFERROR((S15-M15)/M15,0)</f>
        <v>0</v>
      </c>
      <c r="U15" s="181">
        <f t="shared" si="10"/>
        <v>0</v>
      </c>
      <c r="V15" s="201">
        <f t="shared" si="11"/>
        <v>0</v>
      </c>
      <c r="W15" s="3"/>
      <c r="X15" s="194">
        <f t="shared" ref="X15:X27" si="35">X39+X85+X108+X131+X154</f>
        <v>242</v>
      </c>
      <c r="Y15" s="187">
        <f>Y39+Y62+Y85+Y108+Y131+Y154</f>
        <v>375</v>
      </c>
      <c r="Z15" s="187">
        <f t="shared" ref="Z15:Z27" si="36">Z39+Z85+Z108+Z131+Z154</f>
        <v>46</v>
      </c>
      <c r="AA15" s="187">
        <f>AA39+AA62+AA85+AA108+AA131+AA154</f>
        <v>421</v>
      </c>
      <c r="AB15" s="205">
        <f t="shared" si="12"/>
        <v>0</v>
      </c>
      <c r="AC15" s="194">
        <f t="shared" si="13"/>
        <v>290</v>
      </c>
      <c r="AD15" s="187">
        <f>AD39+AD62+AD85+AD108+AD131+AD154</f>
        <v>550</v>
      </c>
      <c r="AE15" s="196">
        <f t="shared" si="14"/>
        <v>0</v>
      </c>
      <c r="AF15" s="187">
        <f>AF39+AF62+AF85+AF108+AF131+AF154</f>
        <v>971</v>
      </c>
      <c r="AG15" s="205">
        <f t="shared" si="15"/>
        <v>1.3064133016627077</v>
      </c>
      <c r="AH15" s="194">
        <f t="shared" si="16"/>
        <v>268</v>
      </c>
      <c r="AI15" s="187">
        <f t="shared" si="17"/>
        <v>522</v>
      </c>
      <c r="AJ15" s="196">
        <f t="shared" si="18"/>
        <v>0</v>
      </c>
      <c r="AK15" s="187">
        <f t="shared" si="19"/>
        <v>1493</v>
      </c>
      <c r="AL15" s="205">
        <f t="shared" si="20"/>
        <v>0.53759011328527295</v>
      </c>
      <c r="AM15" s="194">
        <f t="shared" si="21"/>
        <v>68</v>
      </c>
      <c r="AN15" s="187">
        <f t="shared" si="22"/>
        <v>136</v>
      </c>
      <c r="AO15" s="196">
        <f t="shared" si="23"/>
        <v>0</v>
      </c>
      <c r="AP15" s="187">
        <f t="shared" si="24"/>
        <v>1629</v>
      </c>
      <c r="AQ15" s="205">
        <f t="shared" si="25"/>
        <v>9.109176155391828E-2</v>
      </c>
      <c r="AR15" s="194">
        <f t="shared" si="26"/>
        <v>14</v>
      </c>
      <c r="AS15" s="187">
        <f t="shared" si="27"/>
        <v>28</v>
      </c>
      <c r="AT15" s="196">
        <f t="shared" si="28"/>
        <v>0</v>
      </c>
      <c r="AU15" s="187">
        <f>AU39+AU62+AU85+AU108+AU131+AU154</f>
        <v>1657</v>
      </c>
      <c r="AV15" s="205">
        <f t="shared" si="29"/>
        <v>1.7188459177409455E-2</v>
      </c>
      <c r="AW15" s="181">
        <f t="shared" si="30"/>
        <v>882</v>
      </c>
      <c r="AX15" s="201">
        <f t="shared" si="31"/>
        <v>0.40851054632655548</v>
      </c>
    </row>
    <row r="16" spans="1:50" s="55" customFormat="1" hidden="1" outlineLevel="1" x14ac:dyDescent="0.25">
      <c r="A16"/>
      <c r="B16" s="52" t="s">
        <v>285</v>
      </c>
      <c r="C16" s="56" t="s">
        <v>22</v>
      </c>
      <c r="D16" s="187">
        <f t="shared" si="0"/>
        <v>0</v>
      </c>
      <c r="E16" s="187">
        <f t="shared" si="0"/>
        <v>0</v>
      </c>
      <c r="F16" s="187">
        <f t="shared" si="0"/>
        <v>0</v>
      </c>
      <c r="G16" s="196">
        <f t="shared" si="1"/>
        <v>0</v>
      </c>
      <c r="H16" s="197">
        <f t="shared" si="2"/>
        <v>0</v>
      </c>
      <c r="I16" s="187">
        <f t="shared" si="3"/>
        <v>0</v>
      </c>
      <c r="J16" s="187">
        <f t="shared" si="4"/>
        <v>0</v>
      </c>
      <c r="K16" s="197">
        <f t="shared" si="5"/>
        <v>0</v>
      </c>
      <c r="L16" s="187">
        <f t="shared" si="6"/>
        <v>0</v>
      </c>
      <c r="M16" s="187">
        <f t="shared" si="7"/>
        <v>0</v>
      </c>
      <c r="N16" s="197">
        <f t="shared" si="8"/>
        <v>0</v>
      </c>
      <c r="O16" s="187">
        <f t="shared" si="32"/>
        <v>0</v>
      </c>
      <c r="P16" s="287"/>
      <c r="Q16" s="288"/>
      <c r="R16" s="187">
        <f t="shared" si="33"/>
        <v>0</v>
      </c>
      <c r="S16" s="187">
        <f t="shared" si="9"/>
        <v>0</v>
      </c>
      <c r="T16" s="197">
        <f t="shared" si="34"/>
        <v>0</v>
      </c>
      <c r="U16" s="181">
        <f t="shared" si="10"/>
        <v>0</v>
      </c>
      <c r="V16" s="201">
        <f t="shared" si="11"/>
        <v>0</v>
      </c>
      <c r="W16" s="3"/>
      <c r="X16" s="194">
        <f t="shared" si="35"/>
        <v>240</v>
      </c>
      <c r="Y16" s="187">
        <f>Y40+Y63+Y86+Y109+Y132+Y155</f>
        <v>354</v>
      </c>
      <c r="Z16" s="187">
        <f t="shared" si="36"/>
        <v>54</v>
      </c>
      <c r="AA16" s="187">
        <f>AA40+AA63+AA86+AA109+AA132+AA155</f>
        <v>408</v>
      </c>
      <c r="AB16" s="205">
        <f t="shared" si="12"/>
        <v>0</v>
      </c>
      <c r="AC16" s="194">
        <f t="shared" si="13"/>
        <v>284</v>
      </c>
      <c r="AD16" s="187">
        <f>AD40+AD63+AD86+AD109+AD132+AD155</f>
        <v>539</v>
      </c>
      <c r="AE16" s="196">
        <f t="shared" si="14"/>
        <v>0</v>
      </c>
      <c r="AF16" s="187">
        <f>AF40+AF63+AF86+AF109+AF132+AF155</f>
        <v>947</v>
      </c>
      <c r="AG16" s="205">
        <f t="shared" si="15"/>
        <v>1.321078431372549</v>
      </c>
      <c r="AH16" s="194">
        <f t="shared" si="16"/>
        <v>226</v>
      </c>
      <c r="AI16" s="187">
        <f t="shared" si="17"/>
        <v>432</v>
      </c>
      <c r="AJ16" s="196">
        <f t="shared" si="18"/>
        <v>0</v>
      </c>
      <c r="AK16" s="187">
        <f t="shared" si="19"/>
        <v>1379</v>
      </c>
      <c r="AL16" s="205">
        <f t="shared" si="20"/>
        <v>0.45617740232312565</v>
      </c>
      <c r="AM16" s="194">
        <f t="shared" si="21"/>
        <v>69</v>
      </c>
      <c r="AN16" s="187">
        <f t="shared" si="22"/>
        <v>133</v>
      </c>
      <c r="AO16" s="196">
        <f t="shared" si="23"/>
        <v>0</v>
      </c>
      <c r="AP16" s="187">
        <f t="shared" si="24"/>
        <v>1512</v>
      </c>
      <c r="AQ16" s="205">
        <f t="shared" si="25"/>
        <v>9.6446700507614211E-2</v>
      </c>
      <c r="AR16" s="194">
        <f t="shared" si="26"/>
        <v>37</v>
      </c>
      <c r="AS16" s="187">
        <f t="shared" si="27"/>
        <v>69</v>
      </c>
      <c r="AT16" s="196">
        <f t="shared" si="28"/>
        <v>0</v>
      </c>
      <c r="AU16" s="187">
        <f>AU40+AU63+AU86+AU109+AU132+AU155</f>
        <v>1581</v>
      </c>
      <c r="AV16" s="205">
        <f t="shared" si="29"/>
        <v>4.5634920634920632E-2</v>
      </c>
      <c r="AW16" s="181">
        <f t="shared" si="30"/>
        <v>856</v>
      </c>
      <c r="AX16" s="201">
        <f t="shared" si="31"/>
        <v>0.40303313164834154</v>
      </c>
    </row>
    <row r="17" spans="1:50" hidden="1" outlineLevel="1" x14ac:dyDescent="0.25">
      <c r="B17" s="52" t="s">
        <v>286</v>
      </c>
      <c r="C17" s="56" t="s">
        <v>22</v>
      </c>
      <c r="D17" s="187">
        <f t="shared" si="0"/>
        <v>0</v>
      </c>
      <c r="E17" s="187">
        <f t="shared" si="0"/>
        <v>0</v>
      </c>
      <c r="F17" s="187">
        <f t="shared" si="0"/>
        <v>0</v>
      </c>
      <c r="G17" s="196">
        <f t="shared" si="1"/>
        <v>0</v>
      </c>
      <c r="H17" s="197">
        <f t="shared" si="2"/>
        <v>0</v>
      </c>
      <c r="I17" s="187">
        <f t="shared" si="3"/>
        <v>0</v>
      </c>
      <c r="J17" s="187">
        <f t="shared" si="4"/>
        <v>0</v>
      </c>
      <c r="K17" s="197">
        <f t="shared" si="5"/>
        <v>0</v>
      </c>
      <c r="L17" s="187">
        <f t="shared" si="6"/>
        <v>0</v>
      </c>
      <c r="M17" s="187">
        <f t="shared" si="7"/>
        <v>0</v>
      </c>
      <c r="N17" s="197">
        <f t="shared" si="8"/>
        <v>0</v>
      </c>
      <c r="O17" s="187">
        <f t="shared" si="32"/>
        <v>0</v>
      </c>
      <c r="P17" s="152"/>
      <c r="Q17" s="291"/>
      <c r="R17" s="187">
        <f t="shared" si="33"/>
        <v>0</v>
      </c>
      <c r="S17" s="187">
        <f t="shared" si="9"/>
        <v>0</v>
      </c>
      <c r="T17" s="197">
        <f t="shared" si="34"/>
        <v>0</v>
      </c>
      <c r="U17" s="181">
        <f t="shared" si="10"/>
        <v>0</v>
      </c>
      <c r="V17" s="201">
        <f t="shared" si="11"/>
        <v>0</v>
      </c>
      <c r="W17" s="3"/>
      <c r="X17" s="194">
        <f t="shared" si="35"/>
        <v>274</v>
      </c>
      <c r="Y17" s="187">
        <f>Y41+Y64+Y87+Y110+Y133+Y156</f>
        <v>4</v>
      </c>
      <c r="Z17" s="187">
        <f t="shared" si="36"/>
        <v>270</v>
      </c>
      <c r="AA17" s="187">
        <f>AA41+AA64+AA87+AA110+AA133+AA156</f>
        <v>509</v>
      </c>
      <c r="AB17" s="205">
        <f t="shared" si="12"/>
        <v>0</v>
      </c>
      <c r="AC17" s="194">
        <f t="shared" si="13"/>
        <v>1157</v>
      </c>
      <c r="AD17" s="187">
        <f>AD41+AD64+AD87+AD110+AD133+AD156</f>
        <v>2227</v>
      </c>
      <c r="AE17" s="196">
        <f t="shared" si="14"/>
        <v>0</v>
      </c>
      <c r="AF17" s="187">
        <f>AF41+AF64+AF87+AF110+AF133+AF156</f>
        <v>2736</v>
      </c>
      <c r="AG17" s="205">
        <f t="shared" si="15"/>
        <v>4.37524557956778</v>
      </c>
      <c r="AH17" s="194">
        <f t="shared" si="16"/>
        <v>820</v>
      </c>
      <c r="AI17" s="187">
        <f t="shared" si="17"/>
        <v>1630</v>
      </c>
      <c r="AJ17" s="196">
        <f t="shared" si="18"/>
        <v>0</v>
      </c>
      <c r="AK17" s="187">
        <f t="shared" si="19"/>
        <v>4366</v>
      </c>
      <c r="AL17" s="205">
        <f t="shared" si="20"/>
        <v>0.5957602339181286</v>
      </c>
      <c r="AM17" s="194">
        <f t="shared" si="21"/>
        <v>302</v>
      </c>
      <c r="AN17" s="187">
        <f t="shared" si="22"/>
        <v>579</v>
      </c>
      <c r="AO17" s="196">
        <f t="shared" si="23"/>
        <v>0</v>
      </c>
      <c r="AP17" s="187">
        <f t="shared" si="24"/>
        <v>4945</v>
      </c>
      <c r="AQ17" s="205">
        <f t="shared" si="25"/>
        <v>0.13261566651397161</v>
      </c>
      <c r="AR17" s="194">
        <f t="shared" si="26"/>
        <v>161</v>
      </c>
      <c r="AS17" s="187">
        <f t="shared" si="27"/>
        <v>299</v>
      </c>
      <c r="AT17" s="196">
        <f t="shared" si="28"/>
        <v>0</v>
      </c>
      <c r="AU17" s="187">
        <f>AU41+AU64+AU87+AU110+AU133+AU156</f>
        <v>5244</v>
      </c>
      <c r="AV17" s="205">
        <f t="shared" si="29"/>
        <v>6.0465116279069767E-2</v>
      </c>
      <c r="AW17" s="181">
        <f t="shared" si="30"/>
        <v>2714</v>
      </c>
      <c r="AX17" s="201">
        <f t="shared" si="31"/>
        <v>0.79158008062224994</v>
      </c>
    </row>
    <row r="18" spans="1:50" s="55" customFormat="1" hidden="1" outlineLevel="1" x14ac:dyDescent="0.25">
      <c r="A18"/>
      <c r="B18" s="52" t="s">
        <v>287</v>
      </c>
      <c r="C18" s="56" t="s">
        <v>22</v>
      </c>
      <c r="D18" s="187">
        <f t="shared" si="0"/>
        <v>0</v>
      </c>
      <c r="E18" s="187">
        <f t="shared" si="0"/>
        <v>0</v>
      </c>
      <c r="F18" s="187">
        <f t="shared" si="0"/>
        <v>0</v>
      </c>
      <c r="G18" s="196">
        <f t="shared" si="1"/>
        <v>0</v>
      </c>
      <c r="H18" s="197">
        <f t="shared" si="2"/>
        <v>0</v>
      </c>
      <c r="I18" s="187">
        <f t="shared" si="3"/>
        <v>0</v>
      </c>
      <c r="J18" s="187">
        <f t="shared" si="4"/>
        <v>0</v>
      </c>
      <c r="K18" s="197">
        <f t="shared" si="5"/>
        <v>0</v>
      </c>
      <c r="L18" s="187">
        <f t="shared" si="6"/>
        <v>0</v>
      </c>
      <c r="M18" s="187">
        <f t="shared" si="7"/>
        <v>0</v>
      </c>
      <c r="N18" s="197">
        <f t="shared" si="8"/>
        <v>0</v>
      </c>
      <c r="O18" s="187">
        <f t="shared" si="32"/>
        <v>0</v>
      </c>
      <c r="P18" s="287"/>
      <c r="Q18" s="288"/>
      <c r="R18" s="187">
        <f t="shared" si="33"/>
        <v>0</v>
      </c>
      <c r="S18" s="187">
        <f t="shared" si="9"/>
        <v>0</v>
      </c>
      <c r="T18" s="197">
        <f t="shared" si="34"/>
        <v>0</v>
      </c>
      <c r="U18" s="181">
        <f t="shared" si="10"/>
        <v>0</v>
      </c>
      <c r="V18" s="201">
        <f t="shared" si="11"/>
        <v>0</v>
      </c>
      <c r="W18" s="3"/>
      <c r="X18" s="194">
        <f t="shared" si="35"/>
        <v>0</v>
      </c>
      <c r="Y18" s="187">
        <f>Y42+Y65+Y88+Y111+Y134+Y157</f>
        <v>0</v>
      </c>
      <c r="Z18" s="187">
        <f t="shared" si="36"/>
        <v>0</v>
      </c>
      <c r="AA18" s="187">
        <f>AA42+AA65+AA88+AA111+AA134+AA157</f>
        <v>0</v>
      </c>
      <c r="AB18" s="205">
        <f t="shared" si="12"/>
        <v>0</v>
      </c>
      <c r="AC18" s="194">
        <f t="shared" si="13"/>
        <v>1034</v>
      </c>
      <c r="AD18" s="187">
        <f>AD42+AD65+AD88+AD111+AD134+AD157</f>
        <v>1834</v>
      </c>
      <c r="AE18" s="196">
        <f t="shared" si="14"/>
        <v>0</v>
      </c>
      <c r="AF18" s="187">
        <f>AF42+AF65+AF88+AF111+AF134+AF157</f>
        <v>1834</v>
      </c>
      <c r="AG18" s="205">
        <f t="shared" si="15"/>
        <v>0</v>
      </c>
      <c r="AH18" s="194">
        <f t="shared" si="16"/>
        <v>809</v>
      </c>
      <c r="AI18" s="187">
        <f t="shared" si="17"/>
        <v>1557</v>
      </c>
      <c r="AJ18" s="196">
        <f t="shared" si="18"/>
        <v>0</v>
      </c>
      <c r="AK18" s="187">
        <f t="shared" si="19"/>
        <v>3391</v>
      </c>
      <c r="AL18" s="205">
        <f t="shared" si="20"/>
        <v>0.84896401308615044</v>
      </c>
      <c r="AM18" s="194">
        <f t="shared" si="21"/>
        <v>699</v>
      </c>
      <c r="AN18" s="187">
        <f t="shared" si="22"/>
        <v>1385</v>
      </c>
      <c r="AO18" s="196">
        <f t="shared" si="23"/>
        <v>0</v>
      </c>
      <c r="AP18" s="187">
        <f t="shared" si="24"/>
        <v>4776</v>
      </c>
      <c r="AQ18" s="205">
        <f t="shared" si="25"/>
        <v>0.40843409023886756</v>
      </c>
      <c r="AR18" s="194">
        <f t="shared" si="26"/>
        <v>357</v>
      </c>
      <c r="AS18" s="187">
        <f t="shared" si="27"/>
        <v>701</v>
      </c>
      <c r="AT18" s="196">
        <f t="shared" si="28"/>
        <v>0</v>
      </c>
      <c r="AU18" s="187">
        <f>AU42+AU65+AU88+AU111+AU134+AU157</f>
        <v>5477</v>
      </c>
      <c r="AV18" s="205">
        <f t="shared" si="29"/>
        <v>0.14677554438860971</v>
      </c>
      <c r="AW18" s="181">
        <f t="shared" si="30"/>
        <v>2899</v>
      </c>
      <c r="AX18" s="201">
        <f t="shared" si="31"/>
        <v>0</v>
      </c>
    </row>
    <row r="19" spans="1:50" hidden="1" outlineLevel="1" x14ac:dyDescent="0.25">
      <c r="B19" s="52" t="s">
        <v>288</v>
      </c>
      <c r="C19" s="56" t="s">
        <v>22</v>
      </c>
      <c r="D19" s="187">
        <f t="shared" si="0"/>
        <v>0</v>
      </c>
      <c r="E19" s="187">
        <f t="shared" si="0"/>
        <v>0</v>
      </c>
      <c r="F19" s="187">
        <f t="shared" si="0"/>
        <v>0</v>
      </c>
      <c r="G19" s="196">
        <f t="shared" si="1"/>
        <v>0</v>
      </c>
      <c r="H19" s="197">
        <f t="shared" si="2"/>
        <v>0</v>
      </c>
      <c r="I19" s="187">
        <f t="shared" si="3"/>
        <v>0</v>
      </c>
      <c r="J19" s="187">
        <f t="shared" si="4"/>
        <v>0</v>
      </c>
      <c r="K19" s="197">
        <f t="shared" si="5"/>
        <v>0</v>
      </c>
      <c r="L19" s="187">
        <f t="shared" si="6"/>
        <v>0</v>
      </c>
      <c r="M19" s="187">
        <f t="shared" si="7"/>
        <v>0</v>
      </c>
      <c r="N19" s="197">
        <f t="shared" si="8"/>
        <v>0</v>
      </c>
      <c r="O19" s="187">
        <f t="shared" si="32"/>
        <v>0</v>
      </c>
      <c r="P19" s="152"/>
      <c r="Q19" s="291"/>
      <c r="R19" s="187">
        <f t="shared" si="33"/>
        <v>0</v>
      </c>
      <c r="S19" s="187">
        <f t="shared" si="9"/>
        <v>0</v>
      </c>
      <c r="T19" s="197">
        <f t="shared" si="34"/>
        <v>0</v>
      </c>
      <c r="U19" s="181">
        <f t="shared" si="10"/>
        <v>0</v>
      </c>
      <c r="V19" s="201">
        <f t="shared" si="11"/>
        <v>0</v>
      </c>
      <c r="W19" s="3"/>
      <c r="X19" s="194">
        <f t="shared" si="35"/>
        <v>283</v>
      </c>
      <c r="Y19" s="187">
        <f>Y43+Y66+Y89+Y112+Y135+Y158</f>
        <v>16</v>
      </c>
      <c r="Z19" s="187">
        <f t="shared" si="36"/>
        <v>267</v>
      </c>
      <c r="AA19" s="187">
        <f>AA43+AA66+AA89+AA112+AA135+AA158</f>
        <v>478</v>
      </c>
      <c r="AB19" s="205">
        <f t="shared" si="12"/>
        <v>0</v>
      </c>
      <c r="AC19" s="194">
        <f t="shared" si="13"/>
        <v>370</v>
      </c>
      <c r="AD19" s="187">
        <f t="shared" ref="AD19:AF19" si="37">AD43+AD66+AD89+AD112+AD135+AD158</f>
        <v>730</v>
      </c>
      <c r="AE19" s="196">
        <f t="shared" si="14"/>
        <v>0</v>
      </c>
      <c r="AF19" s="187">
        <f t="shared" si="37"/>
        <v>1208</v>
      </c>
      <c r="AG19" s="205">
        <f t="shared" si="15"/>
        <v>1.5271966527196652</v>
      </c>
      <c r="AH19" s="194">
        <f t="shared" si="16"/>
        <v>231</v>
      </c>
      <c r="AI19" s="187">
        <f t="shared" si="17"/>
        <v>449</v>
      </c>
      <c r="AJ19" s="196">
        <f t="shared" si="18"/>
        <v>0</v>
      </c>
      <c r="AK19" s="187">
        <f t="shared" si="19"/>
        <v>1657</v>
      </c>
      <c r="AL19" s="205">
        <f t="shared" si="20"/>
        <v>0.37168874172185429</v>
      </c>
      <c r="AM19" s="194">
        <f t="shared" si="21"/>
        <v>54</v>
      </c>
      <c r="AN19" s="187">
        <f t="shared" si="22"/>
        <v>104</v>
      </c>
      <c r="AO19" s="196">
        <f t="shared" si="23"/>
        <v>0</v>
      </c>
      <c r="AP19" s="187">
        <f t="shared" si="24"/>
        <v>1761</v>
      </c>
      <c r="AQ19" s="205">
        <f t="shared" si="25"/>
        <v>6.2764031382015695E-2</v>
      </c>
      <c r="AR19" s="194">
        <f t="shared" si="26"/>
        <v>28</v>
      </c>
      <c r="AS19" s="187">
        <f t="shared" si="27"/>
        <v>53</v>
      </c>
      <c r="AT19" s="196">
        <f t="shared" si="28"/>
        <v>0</v>
      </c>
      <c r="AU19" s="187">
        <f t="shared" ref="AU19" si="38">AU43+AU66+AU89+AU112+AU135+AU158</f>
        <v>1814</v>
      </c>
      <c r="AV19" s="205">
        <f t="shared" si="29"/>
        <v>3.0096536059057353E-2</v>
      </c>
      <c r="AW19" s="181">
        <f t="shared" si="30"/>
        <v>966</v>
      </c>
      <c r="AX19" s="201">
        <f t="shared" si="31"/>
        <v>0.39573299894396063</v>
      </c>
    </row>
    <row r="20" spans="1:50" ht="15" hidden="1" customHeight="1" outlineLevel="1" x14ac:dyDescent="0.25">
      <c r="B20" s="52" t="s">
        <v>289</v>
      </c>
      <c r="C20" s="56" t="s">
        <v>22</v>
      </c>
      <c r="D20" s="187">
        <f t="shared" si="0"/>
        <v>0</v>
      </c>
      <c r="E20" s="187">
        <f t="shared" si="0"/>
        <v>0</v>
      </c>
      <c r="F20" s="187">
        <f t="shared" si="0"/>
        <v>0</v>
      </c>
      <c r="G20" s="196">
        <f t="shared" si="1"/>
        <v>0</v>
      </c>
      <c r="H20" s="197">
        <f t="shared" si="2"/>
        <v>0</v>
      </c>
      <c r="I20" s="187">
        <f t="shared" si="3"/>
        <v>0</v>
      </c>
      <c r="J20" s="187">
        <f t="shared" si="4"/>
        <v>0</v>
      </c>
      <c r="K20" s="197">
        <f t="shared" si="5"/>
        <v>0</v>
      </c>
      <c r="L20" s="187">
        <f t="shared" si="6"/>
        <v>0</v>
      </c>
      <c r="M20" s="187">
        <f t="shared" si="7"/>
        <v>0</v>
      </c>
      <c r="N20" s="197">
        <f t="shared" si="8"/>
        <v>0</v>
      </c>
      <c r="O20" s="187">
        <f t="shared" si="32"/>
        <v>0</v>
      </c>
      <c r="P20" s="152"/>
      <c r="Q20" s="291"/>
      <c r="R20" s="187">
        <f t="shared" si="33"/>
        <v>0</v>
      </c>
      <c r="S20" s="187">
        <f t="shared" si="9"/>
        <v>0</v>
      </c>
      <c r="T20" s="197">
        <f t="shared" si="34"/>
        <v>0</v>
      </c>
      <c r="U20" s="181">
        <f t="shared" si="10"/>
        <v>0</v>
      </c>
      <c r="V20" s="201">
        <f t="shared" si="11"/>
        <v>0</v>
      </c>
      <c r="W20" s="3"/>
      <c r="X20" s="194">
        <f t="shared" si="35"/>
        <v>557</v>
      </c>
      <c r="Y20" s="187">
        <f t="shared" ref="Y20:AA20" si="39">Y44+Y67+Y90+Y113+Y136+Y159</f>
        <v>23</v>
      </c>
      <c r="Z20" s="187">
        <f t="shared" si="36"/>
        <v>534</v>
      </c>
      <c r="AA20" s="187">
        <f t="shared" si="39"/>
        <v>831</v>
      </c>
      <c r="AB20" s="205">
        <f t="shared" si="12"/>
        <v>0</v>
      </c>
      <c r="AC20" s="194">
        <f t="shared" si="13"/>
        <v>1681</v>
      </c>
      <c r="AD20" s="187">
        <f t="shared" ref="AD20:AF20" si="40">AD44+AD67+AD90+AD113+AD136+AD159</f>
        <v>3130</v>
      </c>
      <c r="AE20" s="196">
        <f t="shared" si="14"/>
        <v>0</v>
      </c>
      <c r="AF20" s="187">
        <f t="shared" si="40"/>
        <v>3961</v>
      </c>
      <c r="AG20" s="205">
        <f t="shared" si="15"/>
        <v>3.7665463297232251</v>
      </c>
      <c r="AH20" s="194">
        <f t="shared" si="16"/>
        <v>1102</v>
      </c>
      <c r="AI20" s="187">
        <f t="shared" ref="AI20:AK20" si="41">AI44+AI67+AI90+AI113+AI136+AI159</f>
        <v>2152</v>
      </c>
      <c r="AJ20" s="196">
        <f t="shared" si="18"/>
        <v>0</v>
      </c>
      <c r="AK20" s="187">
        <f t="shared" si="41"/>
        <v>6113</v>
      </c>
      <c r="AL20" s="205">
        <f t="shared" si="20"/>
        <v>0.54329714718505429</v>
      </c>
      <c r="AM20" s="194">
        <f t="shared" si="21"/>
        <v>1073</v>
      </c>
      <c r="AN20" s="187">
        <f t="shared" ref="AN20:AP20" si="42">AN44+AN67+AN90+AN113+AN136+AN159</f>
        <v>2123</v>
      </c>
      <c r="AO20" s="196">
        <f t="shared" si="23"/>
        <v>0</v>
      </c>
      <c r="AP20" s="187">
        <f t="shared" si="42"/>
        <v>8236</v>
      </c>
      <c r="AQ20" s="205">
        <f t="shared" si="25"/>
        <v>0.34729265499754619</v>
      </c>
      <c r="AR20" s="194">
        <f t="shared" si="26"/>
        <v>547</v>
      </c>
      <c r="AS20" s="187">
        <f t="shared" ref="AS20:AU20" si="43">AS44+AS67+AS90+AS113+AS136+AS159</f>
        <v>1072</v>
      </c>
      <c r="AT20" s="196">
        <f t="shared" si="28"/>
        <v>0</v>
      </c>
      <c r="AU20" s="187">
        <f t="shared" si="43"/>
        <v>9308</v>
      </c>
      <c r="AV20" s="205">
        <f t="shared" si="29"/>
        <v>0.13016027197668772</v>
      </c>
      <c r="AW20" s="181">
        <f t="shared" si="30"/>
        <v>4960</v>
      </c>
      <c r="AX20" s="201">
        <f t="shared" si="31"/>
        <v>0.82942174831373094</v>
      </c>
    </row>
    <row r="21" spans="1:50" ht="15" hidden="1" customHeight="1" outlineLevel="1" x14ac:dyDescent="0.25">
      <c r="B21" s="52" t="s">
        <v>290</v>
      </c>
      <c r="C21" s="56" t="s">
        <v>22</v>
      </c>
      <c r="D21" s="187">
        <f t="shared" si="0"/>
        <v>0</v>
      </c>
      <c r="E21" s="187">
        <f t="shared" si="0"/>
        <v>0</v>
      </c>
      <c r="F21" s="187">
        <f t="shared" si="0"/>
        <v>0</v>
      </c>
      <c r="G21" s="196">
        <f t="shared" si="1"/>
        <v>0</v>
      </c>
      <c r="H21" s="197">
        <f t="shared" si="2"/>
        <v>0</v>
      </c>
      <c r="I21" s="187">
        <f t="shared" si="3"/>
        <v>0</v>
      </c>
      <c r="J21" s="187">
        <f t="shared" si="4"/>
        <v>0</v>
      </c>
      <c r="K21" s="197">
        <f t="shared" si="5"/>
        <v>0</v>
      </c>
      <c r="L21" s="187">
        <f t="shared" si="6"/>
        <v>0</v>
      </c>
      <c r="M21" s="187">
        <f t="shared" si="7"/>
        <v>0</v>
      </c>
      <c r="N21" s="197">
        <f t="shared" si="8"/>
        <v>0</v>
      </c>
      <c r="O21" s="187">
        <f t="shared" si="32"/>
        <v>0</v>
      </c>
      <c r="P21" s="152"/>
      <c r="Q21" s="291"/>
      <c r="R21" s="187">
        <f t="shared" si="33"/>
        <v>0</v>
      </c>
      <c r="S21" s="187">
        <f t="shared" si="9"/>
        <v>0</v>
      </c>
      <c r="T21" s="197">
        <f t="shared" si="34"/>
        <v>0</v>
      </c>
      <c r="U21" s="181">
        <f t="shared" si="10"/>
        <v>0</v>
      </c>
      <c r="V21" s="201">
        <f t="shared" si="11"/>
        <v>0</v>
      </c>
      <c r="W21" s="3"/>
      <c r="X21" s="194">
        <f t="shared" si="35"/>
        <v>530</v>
      </c>
      <c r="Y21" s="187">
        <f t="shared" ref="Y21:AA21" si="44">Y45+Y68+Y91+Y114+Y137+Y160</f>
        <v>54</v>
      </c>
      <c r="Z21" s="187">
        <f t="shared" si="36"/>
        <v>476</v>
      </c>
      <c r="AA21" s="187">
        <f t="shared" si="44"/>
        <v>892</v>
      </c>
      <c r="AB21" s="205">
        <f t="shared" si="12"/>
        <v>0</v>
      </c>
      <c r="AC21" s="194">
        <f t="shared" si="13"/>
        <v>1515</v>
      </c>
      <c r="AD21" s="187">
        <f>AD45+AD68+AD91+AD114+AD137+AD160</f>
        <v>2914</v>
      </c>
      <c r="AE21" s="196">
        <f t="shared" si="14"/>
        <v>0</v>
      </c>
      <c r="AF21" s="187">
        <f t="shared" ref="AF21" si="45">AF45+AF68+AF91+AF114+AF137+AF160</f>
        <v>3806</v>
      </c>
      <c r="AG21" s="205">
        <f t="shared" si="15"/>
        <v>3.2668161434977581</v>
      </c>
      <c r="AH21" s="194">
        <f t="shared" si="16"/>
        <v>1275</v>
      </c>
      <c r="AI21" s="187">
        <f t="shared" ref="AI21:AK21" si="46">AI45+AI68+AI91+AI114+AI137+AI160</f>
        <v>2504</v>
      </c>
      <c r="AJ21" s="196">
        <f t="shared" si="18"/>
        <v>0</v>
      </c>
      <c r="AK21" s="187">
        <f t="shared" si="46"/>
        <v>6310</v>
      </c>
      <c r="AL21" s="205">
        <f t="shared" si="20"/>
        <v>0.65790856542301634</v>
      </c>
      <c r="AM21" s="194">
        <f t="shared" si="21"/>
        <v>1075</v>
      </c>
      <c r="AN21" s="187">
        <f t="shared" ref="AN21:AP21" si="47">AN45+AN68+AN91+AN114+AN137+AN160</f>
        <v>2125</v>
      </c>
      <c r="AO21" s="196">
        <f t="shared" si="23"/>
        <v>0</v>
      </c>
      <c r="AP21" s="187">
        <f t="shared" si="47"/>
        <v>8435</v>
      </c>
      <c r="AQ21" s="205">
        <f t="shared" si="25"/>
        <v>0.33676703645007922</v>
      </c>
      <c r="AR21" s="194">
        <f t="shared" si="26"/>
        <v>547</v>
      </c>
      <c r="AS21" s="187">
        <f t="shared" ref="AS21:AU21" si="48">AS45+AS68+AS91+AS114+AS137+AS160</f>
        <v>1072</v>
      </c>
      <c r="AT21" s="196">
        <f t="shared" si="28"/>
        <v>0</v>
      </c>
      <c r="AU21" s="187">
        <f t="shared" si="48"/>
        <v>9507</v>
      </c>
      <c r="AV21" s="205">
        <f t="shared" si="29"/>
        <v>0.12708950800237107</v>
      </c>
      <c r="AW21" s="181">
        <f t="shared" si="30"/>
        <v>4942</v>
      </c>
      <c r="AX21" s="201">
        <f t="shared" si="31"/>
        <v>0.80683984787119734</v>
      </c>
    </row>
    <row r="22" spans="1:50" ht="15" hidden="1" customHeight="1" outlineLevel="1" x14ac:dyDescent="0.25">
      <c r="B22" s="52" t="s">
        <v>291</v>
      </c>
      <c r="C22" s="56" t="s">
        <v>22</v>
      </c>
      <c r="D22" s="187">
        <f t="shared" si="0"/>
        <v>0</v>
      </c>
      <c r="E22" s="187">
        <f t="shared" si="0"/>
        <v>0</v>
      </c>
      <c r="F22" s="187">
        <f t="shared" si="0"/>
        <v>0</v>
      </c>
      <c r="G22" s="196">
        <f t="shared" si="1"/>
        <v>0</v>
      </c>
      <c r="H22" s="197">
        <f t="shared" si="2"/>
        <v>0</v>
      </c>
      <c r="I22" s="187">
        <f t="shared" si="3"/>
        <v>0</v>
      </c>
      <c r="J22" s="187">
        <f t="shared" si="4"/>
        <v>0</v>
      </c>
      <c r="K22" s="197">
        <f t="shared" si="5"/>
        <v>0</v>
      </c>
      <c r="L22" s="187">
        <f t="shared" si="6"/>
        <v>0</v>
      </c>
      <c r="M22" s="187">
        <f t="shared" si="7"/>
        <v>0</v>
      </c>
      <c r="N22" s="197">
        <f t="shared" si="8"/>
        <v>0</v>
      </c>
      <c r="O22" s="187">
        <f t="shared" si="32"/>
        <v>74</v>
      </c>
      <c r="P22" s="152"/>
      <c r="Q22" s="291"/>
      <c r="R22" s="187">
        <f t="shared" si="33"/>
        <v>2371</v>
      </c>
      <c r="S22" s="187">
        <f t="shared" si="9"/>
        <v>2371</v>
      </c>
      <c r="T22" s="197">
        <f t="shared" si="34"/>
        <v>0</v>
      </c>
      <c r="U22" s="181">
        <f t="shared" si="10"/>
        <v>2371</v>
      </c>
      <c r="V22" s="201">
        <f t="shared" si="11"/>
        <v>0</v>
      </c>
      <c r="W22" s="3"/>
      <c r="X22" s="194">
        <f t="shared" si="35"/>
        <v>260</v>
      </c>
      <c r="Y22" s="187">
        <f t="shared" ref="Y22:AA22" si="49">Y46+Y69+Y92+Y115+Y138+Y161</f>
        <v>295</v>
      </c>
      <c r="Z22" s="187">
        <f t="shared" si="36"/>
        <v>112</v>
      </c>
      <c r="AA22" s="187">
        <f t="shared" si="49"/>
        <v>2778</v>
      </c>
      <c r="AB22" s="205">
        <f t="shared" si="12"/>
        <v>0.17165752846900043</v>
      </c>
      <c r="AC22" s="194">
        <f t="shared" si="13"/>
        <v>145</v>
      </c>
      <c r="AD22" s="187">
        <f>AD46+AD69+AD92+AD115+AD138+AD161</f>
        <v>256</v>
      </c>
      <c r="AE22" s="196">
        <f t="shared" si="14"/>
        <v>0</v>
      </c>
      <c r="AF22" s="187">
        <f t="shared" ref="AF22" si="50">AF46+AF69+AF92+AF115+AF138+AF161</f>
        <v>3034</v>
      </c>
      <c r="AG22" s="205">
        <f t="shared" si="15"/>
        <v>9.2152627789776814E-2</v>
      </c>
      <c r="AH22" s="194">
        <f t="shared" si="16"/>
        <v>34</v>
      </c>
      <c r="AI22" s="187">
        <f t="shared" ref="AI22:AK24" si="51">AI46+AI69+AI92+AI115+AI138+AI161</f>
        <v>59</v>
      </c>
      <c r="AJ22" s="196">
        <f t="shared" si="18"/>
        <v>0</v>
      </c>
      <c r="AK22" s="187">
        <f t="shared" si="51"/>
        <v>3093</v>
      </c>
      <c r="AL22" s="205">
        <f t="shared" si="20"/>
        <v>1.944627554383652E-2</v>
      </c>
      <c r="AM22" s="194">
        <f t="shared" si="21"/>
        <v>30</v>
      </c>
      <c r="AN22" s="187">
        <f t="shared" ref="AN22:AP24" si="52">AN46+AN69+AN92+AN115+AN138+AN161</f>
        <v>55</v>
      </c>
      <c r="AO22" s="196">
        <f t="shared" si="23"/>
        <v>0</v>
      </c>
      <c r="AP22" s="187">
        <f t="shared" si="52"/>
        <v>3148</v>
      </c>
      <c r="AQ22" s="205">
        <f t="shared" si="25"/>
        <v>1.7782088587132233E-2</v>
      </c>
      <c r="AR22" s="194">
        <f t="shared" si="26"/>
        <v>22</v>
      </c>
      <c r="AS22" s="187">
        <f t="shared" ref="AS22:AU24" si="53">AS46+AS69+AS92+AS115+AS138+AS161</f>
        <v>39</v>
      </c>
      <c r="AT22" s="196">
        <f t="shared" si="28"/>
        <v>0</v>
      </c>
      <c r="AU22" s="187">
        <f t="shared" si="53"/>
        <v>3187</v>
      </c>
      <c r="AV22" s="205">
        <f t="shared" si="29"/>
        <v>1.238881829733164E-2</v>
      </c>
      <c r="AW22" s="181">
        <f t="shared" si="30"/>
        <v>491</v>
      </c>
      <c r="AX22" s="201">
        <f t="shared" si="31"/>
        <v>3.4933525180300906E-2</v>
      </c>
    </row>
    <row r="23" spans="1:50" ht="15" hidden="1" customHeight="1" outlineLevel="1" x14ac:dyDescent="0.25">
      <c r="B23" s="52" t="s">
        <v>307</v>
      </c>
      <c r="C23" s="56" t="s">
        <v>22</v>
      </c>
      <c r="D23" s="187"/>
      <c r="E23" s="187"/>
      <c r="F23" s="187"/>
      <c r="G23" s="196"/>
      <c r="H23" s="212"/>
      <c r="I23" s="187"/>
      <c r="J23" s="187"/>
      <c r="K23" s="212"/>
      <c r="L23" s="187"/>
      <c r="M23" s="187"/>
      <c r="N23" s="212"/>
      <c r="O23" s="187"/>
      <c r="P23" s="152"/>
      <c r="Q23" s="291"/>
      <c r="R23" s="187"/>
      <c r="S23" s="187"/>
      <c r="T23" s="212"/>
      <c r="U23" s="181"/>
      <c r="V23" s="338"/>
      <c r="W23" s="3"/>
      <c r="X23" s="194">
        <f t="shared" si="35"/>
        <v>65</v>
      </c>
      <c r="Y23" s="187">
        <f>Y47+Y70+Y93+Y116+Y139+Y162</f>
        <v>4</v>
      </c>
      <c r="Z23" s="187">
        <f t="shared" si="36"/>
        <v>61</v>
      </c>
      <c r="AA23" s="187">
        <f>AA47+AA70+AA93+AA116+AA139+AA162</f>
        <v>120</v>
      </c>
      <c r="AB23" s="205">
        <f t="shared" ref="AB23:AB27" si="54">IFERROR((AA23-S23)/S23,0)</f>
        <v>0</v>
      </c>
      <c r="AC23" s="194">
        <f t="shared" si="13"/>
        <v>94</v>
      </c>
      <c r="AD23" s="187">
        <f>AD47+AD70+AD93+AD116+AD139+AD162</f>
        <v>179</v>
      </c>
      <c r="AE23" s="196">
        <f t="shared" si="14"/>
        <v>0</v>
      </c>
      <c r="AF23" s="187">
        <f>AF47+AF70+AF93+AF116+AF139+AF162</f>
        <v>299</v>
      </c>
      <c r="AG23" s="205">
        <f t="shared" ref="AG23:AG27" si="55">IFERROR((AF23-AA23)/AA23,0)</f>
        <v>1.4916666666666667</v>
      </c>
      <c r="AH23" s="194">
        <f t="shared" si="16"/>
        <v>101</v>
      </c>
      <c r="AI23" s="187">
        <f t="shared" si="51"/>
        <v>191</v>
      </c>
      <c r="AJ23" s="196">
        <f t="shared" si="18"/>
        <v>0</v>
      </c>
      <c r="AK23" s="187">
        <f t="shared" si="51"/>
        <v>490</v>
      </c>
      <c r="AL23" s="205">
        <f t="shared" ref="AL23:AL27" si="56">IFERROR((AK23-AF23)/AF23,0)</f>
        <v>0.6387959866220736</v>
      </c>
      <c r="AM23" s="194">
        <f t="shared" si="21"/>
        <v>60</v>
      </c>
      <c r="AN23" s="187">
        <f t="shared" si="52"/>
        <v>115</v>
      </c>
      <c r="AO23" s="196">
        <f t="shared" si="23"/>
        <v>0</v>
      </c>
      <c r="AP23" s="187">
        <f t="shared" si="52"/>
        <v>605</v>
      </c>
      <c r="AQ23" s="205">
        <f t="shared" ref="AQ23:AQ27" si="57">IFERROR((AP23-AK23)/AK23,0)</f>
        <v>0.23469387755102042</v>
      </c>
      <c r="AR23" s="194">
        <f t="shared" si="26"/>
        <v>49</v>
      </c>
      <c r="AS23" s="187">
        <f t="shared" si="53"/>
        <v>94</v>
      </c>
      <c r="AT23" s="196">
        <f t="shared" si="28"/>
        <v>0</v>
      </c>
      <c r="AU23" s="187">
        <f>AU47+AU70+AU93+AU116+AU139+AU162</f>
        <v>699</v>
      </c>
      <c r="AV23" s="205">
        <f t="shared" ref="AV23:AV27" si="58">IFERROR((AU23-AP23)/AP23,0)</f>
        <v>0.15537190082644628</v>
      </c>
      <c r="AW23" s="181">
        <f t="shared" ref="AW23:AW27" si="59">X23+AC23+AH23+AM23+AR23</f>
        <v>369</v>
      </c>
      <c r="AX23" s="201">
        <f t="shared" ref="AX23:AX27" si="60">IFERROR((AU23/AA23)^(1/4)-1,0)</f>
        <v>0.55354551823544385</v>
      </c>
    </row>
    <row r="24" spans="1:50" ht="15" hidden="1" customHeight="1" outlineLevel="1" x14ac:dyDescent="0.25">
      <c r="B24" s="52" t="s">
        <v>304</v>
      </c>
      <c r="C24" s="56" t="s">
        <v>22</v>
      </c>
      <c r="D24" s="187"/>
      <c r="E24" s="187"/>
      <c r="F24" s="187"/>
      <c r="G24" s="196"/>
      <c r="H24" s="212"/>
      <c r="I24" s="187"/>
      <c r="J24" s="187"/>
      <c r="K24" s="212"/>
      <c r="L24" s="187"/>
      <c r="M24" s="187"/>
      <c r="N24" s="212"/>
      <c r="O24" s="187"/>
      <c r="P24" s="152"/>
      <c r="Q24" s="291"/>
      <c r="R24" s="187"/>
      <c r="S24" s="187"/>
      <c r="T24" s="212"/>
      <c r="U24" s="181"/>
      <c r="V24" s="338"/>
      <c r="W24" s="3"/>
      <c r="X24" s="194">
        <f t="shared" si="35"/>
        <v>71</v>
      </c>
      <c r="Y24" s="187">
        <f>Y48+Y71+Y94+Y117+Y140+Y163</f>
        <v>6</v>
      </c>
      <c r="Z24" s="187">
        <f t="shared" si="36"/>
        <v>65</v>
      </c>
      <c r="AA24" s="187">
        <f>AA48+AA71+AA94+AA117+AA140+AA163</f>
        <v>126</v>
      </c>
      <c r="AB24" s="205">
        <f t="shared" si="54"/>
        <v>0</v>
      </c>
      <c r="AC24" s="194">
        <f t="shared" si="13"/>
        <v>94</v>
      </c>
      <c r="AD24" s="187">
        <f t="shared" ref="AD24" si="61">AD48+AD71+AD94+AD117+AD140+AD163</f>
        <v>179</v>
      </c>
      <c r="AE24" s="196">
        <f t="shared" si="14"/>
        <v>0</v>
      </c>
      <c r="AF24" s="187">
        <f t="shared" ref="AF24" si="62">AF48+AF71+AF94+AF117+AF140+AF163</f>
        <v>305</v>
      </c>
      <c r="AG24" s="205">
        <f t="shared" si="55"/>
        <v>1.4206349206349207</v>
      </c>
      <c r="AH24" s="194">
        <f t="shared" si="16"/>
        <v>150</v>
      </c>
      <c r="AI24" s="187">
        <f t="shared" si="51"/>
        <v>290</v>
      </c>
      <c r="AJ24" s="196">
        <f t="shared" si="18"/>
        <v>0</v>
      </c>
      <c r="AK24" s="187">
        <f t="shared" si="51"/>
        <v>595</v>
      </c>
      <c r="AL24" s="205">
        <f t="shared" si="56"/>
        <v>0.95081967213114749</v>
      </c>
      <c r="AM24" s="194">
        <f t="shared" si="21"/>
        <v>70</v>
      </c>
      <c r="AN24" s="187">
        <f t="shared" si="52"/>
        <v>135</v>
      </c>
      <c r="AO24" s="196">
        <f t="shared" si="23"/>
        <v>0</v>
      </c>
      <c r="AP24" s="187">
        <f t="shared" si="52"/>
        <v>730</v>
      </c>
      <c r="AQ24" s="205">
        <f t="shared" si="57"/>
        <v>0.22689075630252101</v>
      </c>
      <c r="AR24" s="194">
        <f t="shared" si="26"/>
        <v>49</v>
      </c>
      <c r="AS24" s="187">
        <f t="shared" si="53"/>
        <v>94</v>
      </c>
      <c r="AT24" s="196">
        <f t="shared" si="28"/>
        <v>0</v>
      </c>
      <c r="AU24" s="187">
        <f t="shared" ref="AU24" si="63">AU48+AU71+AU94+AU117+AU140+AU163</f>
        <v>824</v>
      </c>
      <c r="AV24" s="205">
        <f t="shared" si="58"/>
        <v>0.12876712328767123</v>
      </c>
      <c r="AW24" s="181">
        <f t="shared" si="59"/>
        <v>434</v>
      </c>
      <c r="AX24" s="201">
        <f t="shared" si="60"/>
        <v>0.59914986832126349</v>
      </c>
    </row>
    <row r="25" spans="1:50" ht="15" hidden="1" customHeight="1" outlineLevel="1" x14ac:dyDescent="0.25">
      <c r="B25" s="52" t="s">
        <v>305</v>
      </c>
      <c r="C25" s="56" t="s">
        <v>22</v>
      </c>
      <c r="D25" s="187"/>
      <c r="E25" s="187"/>
      <c r="F25" s="187"/>
      <c r="G25" s="196"/>
      <c r="H25" s="212"/>
      <c r="I25" s="187"/>
      <c r="J25" s="187"/>
      <c r="K25" s="212"/>
      <c r="L25" s="187"/>
      <c r="M25" s="187"/>
      <c r="N25" s="212"/>
      <c r="O25" s="187"/>
      <c r="P25" s="152"/>
      <c r="Q25" s="291"/>
      <c r="R25" s="187"/>
      <c r="S25" s="187"/>
      <c r="T25" s="212"/>
      <c r="U25" s="181"/>
      <c r="V25" s="338"/>
      <c r="W25" s="3"/>
      <c r="X25" s="194">
        <f t="shared" si="35"/>
        <v>67</v>
      </c>
      <c r="Y25" s="187">
        <f t="shared" ref="Y25" si="64">Y49+Y72+Y95+Y118+Y141+Y164</f>
        <v>5</v>
      </c>
      <c r="Z25" s="187">
        <f t="shared" si="36"/>
        <v>62</v>
      </c>
      <c r="AA25" s="187">
        <f t="shared" ref="AA25" si="65">AA49+AA72+AA95+AA118+AA141+AA164</f>
        <v>122</v>
      </c>
      <c r="AB25" s="205">
        <f t="shared" si="54"/>
        <v>0</v>
      </c>
      <c r="AC25" s="194">
        <f t="shared" si="13"/>
        <v>94</v>
      </c>
      <c r="AD25" s="187">
        <f t="shared" ref="AD25" si="66">AD49+AD72+AD95+AD118+AD141+AD164</f>
        <v>179</v>
      </c>
      <c r="AE25" s="196">
        <f t="shared" si="14"/>
        <v>0</v>
      </c>
      <c r="AF25" s="187">
        <f t="shared" ref="AF25:AF27" si="67">AF49+AF72+AF95+AF118+AF141+AF164</f>
        <v>301</v>
      </c>
      <c r="AG25" s="205">
        <f t="shared" si="55"/>
        <v>1.4672131147540983</v>
      </c>
      <c r="AH25" s="194">
        <f t="shared" si="16"/>
        <v>130</v>
      </c>
      <c r="AI25" s="187">
        <f t="shared" ref="AI25" si="68">AI49+AI72+AI95+AI118+AI141+AI164</f>
        <v>250</v>
      </c>
      <c r="AJ25" s="196">
        <f t="shared" si="18"/>
        <v>0</v>
      </c>
      <c r="AK25" s="187">
        <f t="shared" ref="AK25" si="69">AK49+AK72+AK95+AK118+AK141+AK164</f>
        <v>551</v>
      </c>
      <c r="AL25" s="205">
        <f t="shared" si="56"/>
        <v>0.83056478405315615</v>
      </c>
      <c r="AM25" s="194">
        <f t="shared" si="21"/>
        <v>60</v>
      </c>
      <c r="AN25" s="187">
        <f t="shared" ref="AN25" si="70">AN49+AN72+AN95+AN118+AN141+AN164</f>
        <v>115</v>
      </c>
      <c r="AO25" s="196">
        <f t="shared" si="23"/>
        <v>0</v>
      </c>
      <c r="AP25" s="187">
        <f t="shared" ref="AP25" si="71">AP49+AP72+AP95+AP118+AP141+AP164</f>
        <v>666</v>
      </c>
      <c r="AQ25" s="205">
        <f t="shared" si="57"/>
        <v>0.20871143375680581</v>
      </c>
      <c r="AR25" s="194">
        <f t="shared" si="26"/>
        <v>49</v>
      </c>
      <c r="AS25" s="187">
        <f t="shared" ref="AS25" si="72">AS49+AS72+AS95+AS118+AS141+AS164</f>
        <v>94</v>
      </c>
      <c r="AT25" s="196">
        <f t="shared" si="28"/>
        <v>0</v>
      </c>
      <c r="AU25" s="187">
        <f t="shared" ref="AU25" si="73">AU49+AU72+AU95+AU118+AU141+AU164</f>
        <v>760</v>
      </c>
      <c r="AV25" s="205">
        <f t="shared" si="58"/>
        <v>0.14114114114114115</v>
      </c>
      <c r="AW25" s="181">
        <f t="shared" si="59"/>
        <v>400</v>
      </c>
      <c r="AX25" s="201">
        <f t="shared" si="60"/>
        <v>0.5798412181336039</v>
      </c>
    </row>
    <row r="26" spans="1:50" ht="15" hidden="1" customHeight="1" outlineLevel="1" x14ac:dyDescent="0.25">
      <c r="B26" s="52" t="s">
        <v>306</v>
      </c>
      <c r="C26" s="56" t="s">
        <v>22</v>
      </c>
      <c r="D26" s="187"/>
      <c r="E26" s="187"/>
      <c r="F26" s="187"/>
      <c r="G26" s="196"/>
      <c r="H26" s="212"/>
      <c r="I26" s="187"/>
      <c r="J26" s="187"/>
      <c r="K26" s="212"/>
      <c r="L26" s="187"/>
      <c r="M26" s="187"/>
      <c r="N26" s="212"/>
      <c r="O26" s="187"/>
      <c r="P26" s="152"/>
      <c r="Q26" s="291"/>
      <c r="R26" s="187"/>
      <c r="S26" s="187"/>
      <c r="T26" s="212"/>
      <c r="U26" s="181"/>
      <c r="V26" s="338"/>
      <c r="W26" s="3"/>
      <c r="X26" s="194">
        <f t="shared" si="35"/>
        <v>153</v>
      </c>
      <c r="Y26" s="187">
        <f t="shared" ref="Y26" si="74">Y50+Y73+Y96+Y119+Y142+Y165</f>
        <v>219</v>
      </c>
      <c r="Z26" s="187">
        <f t="shared" si="36"/>
        <v>40</v>
      </c>
      <c r="AA26" s="187">
        <f t="shared" ref="AA26" si="75">AA50+AA73+AA96+AA119+AA142+AA165</f>
        <v>259</v>
      </c>
      <c r="AB26" s="205">
        <f t="shared" si="54"/>
        <v>0</v>
      </c>
      <c r="AC26" s="194">
        <f t="shared" si="13"/>
        <v>175</v>
      </c>
      <c r="AD26" s="187">
        <f>AD50+AD73+AD96+AD119+AD142+AD165</f>
        <v>299</v>
      </c>
      <c r="AE26" s="196">
        <f t="shared" si="14"/>
        <v>0</v>
      </c>
      <c r="AF26" s="187">
        <f t="shared" si="67"/>
        <v>558</v>
      </c>
      <c r="AG26" s="205">
        <f t="shared" si="55"/>
        <v>1.1544401544401544</v>
      </c>
      <c r="AH26" s="194">
        <f t="shared" si="16"/>
        <v>203</v>
      </c>
      <c r="AI26" s="187">
        <f t="shared" ref="AI26" si="76">AI50+AI73+AI96+AI119+AI142+AI165</f>
        <v>365</v>
      </c>
      <c r="AJ26" s="196">
        <f t="shared" si="18"/>
        <v>0</v>
      </c>
      <c r="AK26" s="187">
        <f t="shared" ref="AK26" si="77">AK50+AK73+AK96+AK119+AK142+AK165</f>
        <v>923</v>
      </c>
      <c r="AL26" s="205">
        <f t="shared" si="56"/>
        <v>0.65412186379928317</v>
      </c>
      <c r="AM26" s="194">
        <f t="shared" si="21"/>
        <v>184</v>
      </c>
      <c r="AN26" s="187">
        <f t="shared" ref="AN26" si="78">AN50+AN73+AN96+AN119+AN142+AN165</f>
        <v>343</v>
      </c>
      <c r="AO26" s="196">
        <f t="shared" si="23"/>
        <v>0</v>
      </c>
      <c r="AP26" s="187">
        <f t="shared" ref="AP26" si="79">AP50+AP73+AP96+AP119+AP142+AP165</f>
        <v>1266</v>
      </c>
      <c r="AQ26" s="205">
        <f t="shared" si="57"/>
        <v>0.37161430119176597</v>
      </c>
      <c r="AR26" s="194">
        <f t="shared" si="26"/>
        <v>130</v>
      </c>
      <c r="AS26" s="187">
        <f t="shared" ref="AS26" si="80">AS50+AS73+AS96+AS119+AS142+AS165</f>
        <v>230</v>
      </c>
      <c r="AT26" s="196">
        <f t="shared" si="28"/>
        <v>0</v>
      </c>
      <c r="AU26" s="187">
        <f t="shared" ref="AU26" si="81">AU50+AU73+AU96+AU119+AU142+AU165</f>
        <v>1496</v>
      </c>
      <c r="AV26" s="205">
        <f t="shared" si="58"/>
        <v>0.18167456556082148</v>
      </c>
      <c r="AW26" s="181">
        <f t="shared" si="59"/>
        <v>845</v>
      </c>
      <c r="AX26" s="201">
        <f t="shared" si="60"/>
        <v>0.55027219347720013</v>
      </c>
    </row>
    <row r="27" spans="1:50" ht="15" hidden="1" customHeight="1" outlineLevel="1" x14ac:dyDescent="0.25">
      <c r="B27" s="52" t="s">
        <v>308</v>
      </c>
      <c r="C27" s="56" t="s">
        <v>22</v>
      </c>
      <c r="D27" s="187"/>
      <c r="E27" s="187"/>
      <c r="F27" s="187"/>
      <c r="G27" s="196"/>
      <c r="H27" s="212"/>
      <c r="I27" s="187"/>
      <c r="J27" s="187"/>
      <c r="K27" s="212"/>
      <c r="L27" s="187"/>
      <c r="M27" s="187"/>
      <c r="N27" s="212"/>
      <c r="O27" s="187"/>
      <c r="P27" s="152"/>
      <c r="Q27" s="291"/>
      <c r="R27" s="187"/>
      <c r="S27" s="187"/>
      <c r="T27" s="212"/>
      <c r="U27" s="181"/>
      <c r="V27" s="338"/>
      <c r="W27" s="3"/>
      <c r="X27" s="194">
        <f t="shared" si="35"/>
        <v>122</v>
      </c>
      <c r="Y27" s="187">
        <f t="shared" ref="Y27" si="82">Y51+Y74+Y97+Y120+Y143+Y166</f>
        <v>9</v>
      </c>
      <c r="Z27" s="187">
        <f t="shared" si="36"/>
        <v>113</v>
      </c>
      <c r="AA27" s="187">
        <f t="shared" ref="AA27" si="83">AA51+AA74+AA97+AA120+AA143+AA166</f>
        <v>207</v>
      </c>
      <c r="AB27" s="205">
        <f t="shared" si="54"/>
        <v>0</v>
      </c>
      <c r="AC27" s="194">
        <f t="shared" si="13"/>
        <v>164</v>
      </c>
      <c r="AD27" s="187">
        <f>AD51+AD74+AD97+AD120+AD143+AD166</f>
        <v>264</v>
      </c>
      <c r="AE27" s="196">
        <f t="shared" si="14"/>
        <v>0</v>
      </c>
      <c r="AF27" s="187">
        <f t="shared" si="67"/>
        <v>471</v>
      </c>
      <c r="AG27" s="205">
        <f t="shared" si="55"/>
        <v>1.2753623188405796</v>
      </c>
      <c r="AH27" s="194">
        <f t="shared" si="16"/>
        <v>184</v>
      </c>
      <c r="AI27" s="187">
        <f t="shared" ref="AI27" si="84">AI51+AI74+AI97+AI120+AI143+AI166</f>
        <v>306</v>
      </c>
      <c r="AJ27" s="196">
        <f t="shared" si="18"/>
        <v>0</v>
      </c>
      <c r="AK27" s="187">
        <f t="shared" ref="AK27" si="85">AK51+AK74+AK97+AK120+AK143+AK166</f>
        <v>777</v>
      </c>
      <c r="AL27" s="205">
        <f t="shared" si="56"/>
        <v>0.64968152866242035</v>
      </c>
      <c r="AM27" s="194">
        <f t="shared" si="21"/>
        <v>152</v>
      </c>
      <c r="AN27" s="187">
        <f t="shared" ref="AN27" si="86">AN51+AN74+AN97+AN120+AN143+AN166</f>
        <v>252</v>
      </c>
      <c r="AO27" s="196">
        <f t="shared" si="23"/>
        <v>0</v>
      </c>
      <c r="AP27" s="187">
        <f t="shared" ref="AP27" si="87">AP51+AP74+AP97+AP120+AP143+AP166</f>
        <v>1029</v>
      </c>
      <c r="AQ27" s="205">
        <f t="shared" si="57"/>
        <v>0.32432432432432434</v>
      </c>
      <c r="AR27" s="194">
        <f t="shared" si="26"/>
        <v>145</v>
      </c>
      <c r="AS27" s="187">
        <f t="shared" ref="AS27" si="88">AS51+AS74+AS97+AS120+AS143+AS166</f>
        <v>245</v>
      </c>
      <c r="AT27" s="196">
        <f t="shared" si="28"/>
        <v>0</v>
      </c>
      <c r="AU27" s="187">
        <f t="shared" ref="AU27" si="89">AU51+AU74+AU97+AU120+AU143+AU166</f>
        <v>1274</v>
      </c>
      <c r="AV27" s="205">
        <f t="shared" si="58"/>
        <v>0.23809523809523808</v>
      </c>
      <c r="AW27" s="181">
        <f t="shared" si="59"/>
        <v>767</v>
      </c>
      <c r="AX27" s="201">
        <f t="shared" si="60"/>
        <v>0.57506967708275569</v>
      </c>
    </row>
    <row r="28" spans="1:50" ht="15" hidden="1" customHeight="1" outlineLevel="1" x14ac:dyDescent="0.25">
      <c r="B28" s="52"/>
      <c r="C28" s="56"/>
      <c r="D28" s="187"/>
      <c r="E28" s="187"/>
      <c r="F28" s="187"/>
      <c r="G28" s="196"/>
      <c r="H28" s="212"/>
      <c r="I28" s="187"/>
      <c r="J28" s="187"/>
      <c r="K28" s="212"/>
      <c r="L28" s="187"/>
      <c r="M28" s="187"/>
      <c r="N28" s="212"/>
      <c r="O28" s="187"/>
      <c r="P28" s="152"/>
      <c r="Q28" s="291"/>
      <c r="R28" s="187"/>
      <c r="S28" s="187"/>
      <c r="T28" s="212"/>
      <c r="U28" s="181"/>
      <c r="V28" s="338"/>
      <c r="W28" s="3"/>
      <c r="X28" s="211"/>
      <c r="Y28" s="187"/>
      <c r="Z28" s="187"/>
      <c r="AA28" s="187"/>
      <c r="AB28" s="339"/>
      <c r="AC28" s="211"/>
      <c r="AD28" s="187"/>
      <c r="AE28" s="196"/>
      <c r="AF28" s="187"/>
      <c r="AG28" s="339"/>
      <c r="AH28" s="211"/>
      <c r="AI28" s="187"/>
      <c r="AJ28" s="196"/>
      <c r="AK28" s="187"/>
      <c r="AL28" s="339"/>
      <c r="AM28" s="211"/>
      <c r="AN28" s="187"/>
      <c r="AO28" s="196"/>
      <c r="AP28" s="187"/>
      <c r="AQ28" s="339"/>
      <c r="AR28" s="211"/>
      <c r="AS28" s="187"/>
      <c r="AT28" s="196"/>
      <c r="AU28" s="187"/>
      <c r="AV28" s="339"/>
      <c r="AW28" s="181"/>
      <c r="AX28" s="338"/>
    </row>
    <row r="29" spans="1:50" ht="15" hidden="1" customHeight="1" outlineLevel="1" x14ac:dyDescent="0.25">
      <c r="B29" s="404" t="s">
        <v>90</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row>
    <row r="30" spans="1:50" ht="15" hidden="1" customHeight="1" outlineLevel="1" x14ac:dyDescent="0.25">
      <c r="B30" s="52" t="s">
        <v>82</v>
      </c>
      <c r="C30" s="56" t="s">
        <v>22</v>
      </c>
      <c r="D30" s="187">
        <f>SUM(D14:D22)</f>
        <v>0</v>
      </c>
      <c r="E30" s="187">
        <f>SUM(E14:E22)</f>
        <v>0</v>
      </c>
      <c r="F30" s="187">
        <f>SUM(F14:F22)</f>
        <v>0</v>
      </c>
      <c r="G30" s="187">
        <f>SUM(G14:G22)</f>
        <v>0</v>
      </c>
      <c r="H30" s="284">
        <f>IFERROR((G30-E30)/E30,0)</f>
        <v>0</v>
      </c>
      <c r="I30" s="187">
        <f>SUM(I14:I22)</f>
        <v>0</v>
      </c>
      <c r="J30" s="187">
        <f>SUM(J14:J22)</f>
        <v>0</v>
      </c>
      <c r="K30" s="284">
        <f t="shared" si="5"/>
        <v>0</v>
      </c>
      <c r="L30" s="187">
        <f>SUM(L14:L22)</f>
        <v>0</v>
      </c>
      <c r="M30" s="187">
        <f>SUM(M14:M22)</f>
        <v>0</v>
      </c>
      <c r="N30" s="284">
        <f t="shared" si="8"/>
        <v>0</v>
      </c>
      <c r="O30" s="187">
        <f>SUM(O14:O22)</f>
        <v>104</v>
      </c>
      <c r="P30" s="152"/>
      <c r="Q30" s="291"/>
      <c r="R30" s="187">
        <f>SUM(R14:R22)</f>
        <v>2401</v>
      </c>
      <c r="S30" s="187">
        <f>SUM(S14:S22)</f>
        <v>2401</v>
      </c>
      <c r="T30" s="284">
        <f>IFERROR((S30-M30)/M30,0)</f>
        <v>0</v>
      </c>
      <c r="U30" s="181">
        <f>D30+F30+I30+L30+R30</f>
        <v>2401</v>
      </c>
      <c r="V30" s="192">
        <f>IFERROR((S30/E30)^(1/4)-1,0)</f>
        <v>0</v>
      </c>
      <c r="W30" s="3"/>
      <c r="X30" s="187">
        <f>SUM(X14:X22)</f>
        <v>2539</v>
      </c>
      <c r="Y30" s="187">
        <f>SUM(Y14:Y22)</f>
        <v>1274</v>
      </c>
      <c r="Z30" s="187">
        <f>SUM(Z14:Z22)</f>
        <v>1759</v>
      </c>
      <c r="AA30" s="187">
        <f>SUM(AA14:AA22)</f>
        <v>6648</v>
      </c>
      <c r="AB30" s="282">
        <f>IFERROR((AA30-S30)/S30,0)</f>
        <v>1.7688463140358184</v>
      </c>
      <c r="AC30" s="187">
        <f>SUM(AC14:AC22)</f>
        <v>6686</v>
      </c>
      <c r="AD30" s="187">
        <f>SUM(AD14:AD22)</f>
        <v>12575</v>
      </c>
      <c r="AE30" s="187">
        <f>SUM(AE14:AE22)</f>
        <v>0</v>
      </c>
      <c r="AF30" s="187">
        <f>SUM(AF14:AF22)</f>
        <v>19223</v>
      </c>
      <c r="AG30" s="282">
        <f>IFERROR((AF30-AA30)/AA30,0)</f>
        <v>1.8915463297232251</v>
      </c>
      <c r="AH30" s="187">
        <f>SUM(AH14:AH22)</f>
        <v>4870</v>
      </c>
      <c r="AI30" s="187">
        <f>SUM(AI14:AI22)</f>
        <v>9515</v>
      </c>
      <c r="AJ30" s="187">
        <f>SUM(AJ14:AJ22)</f>
        <v>0</v>
      </c>
      <c r="AK30" s="187">
        <f>SUM(AK14:AK22)</f>
        <v>28738</v>
      </c>
      <c r="AL30" s="282">
        <f t="shared" si="20"/>
        <v>0.49497997190865112</v>
      </c>
      <c r="AM30" s="187">
        <f>SUM(AM14:AM22)</f>
        <v>3400</v>
      </c>
      <c r="AN30" s="187">
        <f>SUM(AN14:AN22)</f>
        <v>6700</v>
      </c>
      <c r="AO30" s="187">
        <f>SUM(AO14:AO22)</f>
        <v>0</v>
      </c>
      <c r="AP30" s="187">
        <f>SUM(AP14:AP22)</f>
        <v>35438</v>
      </c>
      <c r="AQ30" s="282">
        <f t="shared" si="25"/>
        <v>0.23314078919896999</v>
      </c>
      <c r="AR30" s="187">
        <f>SUM(AR14:AR22)</f>
        <v>1729</v>
      </c>
      <c r="AS30" s="187">
        <f>SUM(AS14:AS22)</f>
        <v>3365</v>
      </c>
      <c r="AT30" s="187">
        <f>SUM(AT14:AT22)</f>
        <v>0</v>
      </c>
      <c r="AU30" s="187">
        <f>SUM(AU14:AU22)</f>
        <v>38803</v>
      </c>
      <c r="AV30" s="282">
        <f t="shared" si="29"/>
        <v>9.4954568542242795E-2</v>
      </c>
      <c r="AW30" s="187">
        <f>SUM(AW14,AW15,AW16,AW17,AW18,AW19,AW20,AW21,AW22)</f>
        <v>19224</v>
      </c>
      <c r="AX30" s="192">
        <f t="shared" si="31"/>
        <v>0.55433123072681778</v>
      </c>
    </row>
    <row r="31" spans="1:50" ht="15" customHeight="1" collapsed="1" x14ac:dyDescent="0.25">
      <c r="R31" s="55" t="s">
        <v>278</v>
      </c>
    </row>
    <row r="32" spans="1:50" ht="15" customHeight="1" x14ac:dyDescent="0.25">
      <c r="R32" s="55"/>
    </row>
    <row r="33" spans="1:50" ht="15.75" x14ac:dyDescent="0.25">
      <c r="B33" s="352" t="s">
        <v>203</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row>
    <row r="34" spans="1:50" ht="5.45" customHeight="1" outlineLevel="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row>
    <row r="35" spans="1:50" s="3" customFormat="1" outlineLevel="1" x14ac:dyDescent="0.25">
      <c r="B35" s="405"/>
      <c r="C35" s="406" t="s">
        <v>20</v>
      </c>
      <c r="D35" s="403" t="s">
        <v>262</v>
      </c>
      <c r="E35" s="403"/>
      <c r="F35" s="403"/>
      <c r="G35" s="403"/>
      <c r="H35" s="403"/>
      <c r="I35" s="403"/>
      <c r="J35" s="403"/>
      <c r="K35" s="403"/>
      <c r="L35" s="403"/>
      <c r="M35" s="403"/>
      <c r="N35" s="403"/>
      <c r="O35" s="403"/>
      <c r="P35" s="403"/>
      <c r="Q35" s="403"/>
      <c r="R35" s="403" t="s">
        <v>260</v>
      </c>
      <c r="S35" s="403"/>
      <c r="T35" s="403"/>
      <c r="U35" s="408" t="str">
        <f xml:space="preserve"> D36&amp;" - "&amp;R36</f>
        <v>2018 - 2022</v>
      </c>
      <c r="V35" s="408"/>
      <c r="X35" s="403" t="s">
        <v>261</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row>
    <row r="36" spans="1:50" s="3" customFormat="1" outlineLevel="1" x14ac:dyDescent="0.25">
      <c r="B36" s="405"/>
      <c r="C36" s="406"/>
      <c r="D36" s="403">
        <f>$C$3-5</f>
        <v>2018</v>
      </c>
      <c r="E36" s="403"/>
      <c r="F36" s="403">
        <f>$C$3-4</f>
        <v>2019</v>
      </c>
      <c r="G36" s="403"/>
      <c r="H36" s="403"/>
      <c r="I36" s="403">
        <f>$C$3-3</f>
        <v>2020</v>
      </c>
      <c r="J36" s="403"/>
      <c r="K36" s="403"/>
      <c r="L36" s="403">
        <f>$C$3-2</f>
        <v>2021</v>
      </c>
      <c r="M36" s="403"/>
      <c r="N36" s="403"/>
      <c r="O36" s="403" t="str">
        <f>$C$3-1&amp;""&amp;" ("&amp;"Σεπτ"&amp;")"</f>
        <v>2022 (Σεπτ)</v>
      </c>
      <c r="P36" s="403"/>
      <c r="Q36" s="403"/>
      <c r="R36" s="403">
        <f>$C$3-1</f>
        <v>2022</v>
      </c>
      <c r="S36" s="403"/>
      <c r="T36" s="403"/>
      <c r="U36" s="408"/>
      <c r="V36" s="408"/>
      <c r="X36" s="403">
        <f>$C$3</f>
        <v>2023</v>
      </c>
      <c r="Y36" s="403"/>
      <c r="Z36" s="403"/>
      <c r="AA36" s="403"/>
      <c r="AB36" s="403"/>
      <c r="AC36" s="403">
        <f>$C$3+1</f>
        <v>2024</v>
      </c>
      <c r="AD36" s="403"/>
      <c r="AE36" s="403"/>
      <c r="AF36" s="403"/>
      <c r="AG36" s="403"/>
      <c r="AH36" s="403">
        <f>$C$3+2</f>
        <v>2025</v>
      </c>
      <c r="AI36" s="403"/>
      <c r="AJ36" s="403"/>
      <c r="AK36" s="403"/>
      <c r="AL36" s="403"/>
      <c r="AM36" s="403">
        <f>$C$3+3</f>
        <v>2026</v>
      </c>
      <c r="AN36" s="403"/>
      <c r="AO36" s="403"/>
      <c r="AP36" s="403"/>
      <c r="AQ36" s="403"/>
      <c r="AR36" s="403">
        <f>$C$3+4</f>
        <v>2027</v>
      </c>
      <c r="AS36" s="403"/>
      <c r="AT36" s="403"/>
      <c r="AU36" s="403"/>
      <c r="AV36" s="403"/>
      <c r="AW36" s="407" t="str">
        <f>X36&amp;" - "&amp;AR36</f>
        <v>2023 - 2027</v>
      </c>
      <c r="AX36" s="407"/>
    </row>
    <row r="37" spans="1:50" s="3" customFormat="1" ht="45" outlineLevel="1" x14ac:dyDescent="0.25">
      <c r="B37" s="405"/>
      <c r="C37" s="406"/>
      <c r="D37" s="9" t="s">
        <v>6</v>
      </c>
      <c r="E37" s="9" t="s">
        <v>7</v>
      </c>
      <c r="F37" s="9" t="s">
        <v>6</v>
      </c>
      <c r="G37" s="9" t="s">
        <v>7</v>
      </c>
      <c r="H37" s="9" t="s">
        <v>81</v>
      </c>
      <c r="I37" s="9" t="s">
        <v>6</v>
      </c>
      <c r="J37" s="9" t="s">
        <v>7</v>
      </c>
      <c r="K37" s="9" t="s">
        <v>81</v>
      </c>
      <c r="L37" s="9" t="s">
        <v>6</v>
      </c>
      <c r="M37" s="9" t="s">
        <v>7</v>
      </c>
      <c r="N37" s="9" t="s">
        <v>81</v>
      </c>
      <c r="O37" s="9" t="s">
        <v>6</v>
      </c>
      <c r="P37" s="9" t="s">
        <v>7</v>
      </c>
      <c r="Q37" s="9" t="s">
        <v>81</v>
      </c>
      <c r="R37" s="9" t="s">
        <v>6</v>
      </c>
      <c r="S37" s="9" t="s">
        <v>7</v>
      </c>
      <c r="T37" s="9" t="s">
        <v>81</v>
      </c>
      <c r="U37" s="9" t="s">
        <v>17</v>
      </c>
      <c r="V37" s="60" t="s">
        <v>83</v>
      </c>
      <c r="X37" s="9" t="s">
        <v>6</v>
      </c>
      <c r="Y37" s="117" t="s">
        <v>88</v>
      </c>
      <c r="Z37" s="117" t="s">
        <v>89</v>
      </c>
      <c r="AA37" s="9" t="s">
        <v>7</v>
      </c>
      <c r="AB37" s="9" t="s">
        <v>81</v>
      </c>
      <c r="AC37" s="9" t="s">
        <v>6</v>
      </c>
      <c r="AD37" s="117" t="s">
        <v>88</v>
      </c>
      <c r="AE37" s="117" t="s">
        <v>89</v>
      </c>
      <c r="AF37" s="9" t="s">
        <v>7</v>
      </c>
      <c r="AG37" s="9" t="s">
        <v>81</v>
      </c>
      <c r="AH37" s="9" t="s">
        <v>6</v>
      </c>
      <c r="AI37" s="117" t="s">
        <v>88</v>
      </c>
      <c r="AJ37" s="117" t="s">
        <v>89</v>
      </c>
      <c r="AK37" s="9" t="s">
        <v>7</v>
      </c>
      <c r="AL37" s="9" t="s">
        <v>81</v>
      </c>
      <c r="AM37" s="9" t="s">
        <v>6</v>
      </c>
      <c r="AN37" s="117" t="s">
        <v>88</v>
      </c>
      <c r="AO37" s="117" t="s">
        <v>89</v>
      </c>
      <c r="AP37" s="9" t="s">
        <v>7</v>
      </c>
      <c r="AQ37" s="9" t="s">
        <v>81</v>
      </c>
      <c r="AR37" s="9" t="s">
        <v>6</v>
      </c>
      <c r="AS37" s="117" t="s">
        <v>88</v>
      </c>
      <c r="AT37" s="117" t="s">
        <v>89</v>
      </c>
      <c r="AU37" s="9" t="s">
        <v>7</v>
      </c>
      <c r="AV37" s="9" t="s">
        <v>81</v>
      </c>
      <c r="AW37" s="9" t="s">
        <v>17</v>
      </c>
      <c r="AX37" s="60" t="s">
        <v>83</v>
      </c>
    </row>
    <row r="38" spans="1:50" s="3" customFormat="1" outlineLevel="1" x14ac:dyDescent="0.25">
      <c r="B38" s="52" t="s">
        <v>283</v>
      </c>
      <c r="C38" s="56" t="s">
        <v>22</v>
      </c>
      <c r="D38" s="4">
        <v>0</v>
      </c>
      <c r="E38" s="4">
        <v>0</v>
      </c>
      <c r="F38" s="4">
        <v>0</v>
      </c>
      <c r="G38" s="172">
        <f t="shared" ref="G38:G46" si="90">E38+F38</f>
        <v>0</v>
      </c>
      <c r="H38" s="282">
        <f t="shared" ref="H38:H52" si="91">IFERROR((G38-E38)/E38,0)</f>
        <v>0</v>
      </c>
      <c r="I38" s="4">
        <v>0</v>
      </c>
      <c r="J38" s="172">
        <f t="shared" ref="J38:J46" si="92">G38+I38</f>
        <v>0</v>
      </c>
      <c r="K38" s="282">
        <f t="shared" ref="K38:K54" si="93">IFERROR((J38-G38)/G38,0)</f>
        <v>0</v>
      </c>
      <c r="L38" s="4">
        <v>0</v>
      </c>
      <c r="M38" s="172">
        <f t="shared" ref="M38:M46" si="94">J38+L38</f>
        <v>0</v>
      </c>
      <c r="N38" s="282">
        <f t="shared" ref="N38:N54" si="95">IFERROR((M38-J38)/J38,0)</f>
        <v>0</v>
      </c>
      <c r="O38" s="4">
        <f>'Ενεργοί πελάτες'!O38</f>
        <v>26</v>
      </c>
      <c r="P38" s="158"/>
      <c r="Q38" s="283"/>
      <c r="R38" s="4">
        <f>'Ενεργοί πελάτες'!R38</f>
        <v>26</v>
      </c>
      <c r="S38" s="172">
        <f t="shared" ref="S38:S46" si="96">M38+R38</f>
        <v>26</v>
      </c>
      <c r="T38" s="282">
        <f t="shared" ref="T38:T52" si="97">IFERROR((S38-M38)/M38,0)</f>
        <v>0</v>
      </c>
      <c r="U38" s="181">
        <f t="shared" ref="U38:U52" si="98">D38+F38+I38+L38+R38</f>
        <v>26</v>
      </c>
      <c r="V38" s="192">
        <f t="shared" ref="V38:V52" si="99">IFERROR((S38/E38)^(1/4)-1,0)</f>
        <v>0</v>
      </c>
      <c r="X38" s="172">
        <f>Y38+Z38</f>
        <v>122</v>
      </c>
      <c r="Y38" s="4">
        <f>'Ανάλυση για νέους πελάτες'!D13</f>
        <v>122</v>
      </c>
      <c r="Z38" s="4"/>
      <c r="AA38" s="172">
        <f t="shared" ref="AA38:AA46" si="100">S38+X38</f>
        <v>148</v>
      </c>
      <c r="AB38" s="282">
        <f t="shared" ref="AB38:AB52" si="101">IFERROR((AA38-S38)/S38,0)</f>
        <v>4.6923076923076925</v>
      </c>
      <c r="AC38" s="172">
        <f>AD38+AE38</f>
        <v>185</v>
      </c>
      <c r="AD38" s="4">
        <f>'Ανάλυση για νέους πελάτες'!E13</f>
        <v>185</v>
      </c>
      <c r="AE38" s="4"/>
      <c r="AF38" s="172">
        <f t="shared" ref="AF38:AF46" si="102">AA38+AC38</f>
        <v>333</v>
      </c>
      <c r="AG38" s="284">
        <f t="shared" ref="AG38:AG52" si="103">IFERROR((AF38-AA38)/AA38,0)</f>
        <v>1.25</v>
      </c>
      <c r="AH38" s="172">
        <f>AI38+AJ38</f>
        <v>105</v>
      </c>
      <c r="AI38" s="4">
        <f>'Ανάλυση για νέους πελάτες'!F13</f>
        <v>105</v>
      </c>
      <c r="AJ38" s="4"/>
      <c r="AK38" s="172">
        <f t="shared" ref="AK38:AK46" si="104">AF38+AH38</f>
        <v>438</v>
      </c>
      <c r="AL38" s="284">
        <f t="shared" ref="AL38:AL54" si="105">IFERROR((AK38-AF38)/AF38,0)</f>
        <v>0.31531531531531531</v>
      </c>
      <c r="AM38" s="172">
        <f>AN38+AO38</f>
        <v>30</v>
      </c>
      <c r="AN38" s="4">
        <f>'Ανάλυση για νέους πελάτες'!G13</f>
        <v>30</v>
      </c>
      <c r="AO38" s="4"/>
      <c r="AP38" s="172">
        <f t="shared" ref="AP38:AP46" si="106">AK38+AM38</f>
        <v>468</v>
      </c>
      <c r="AQ38" s="284">
        <f t="shared" ref="AQ38:AQ54" si="107">IFERROR((AP38-AK38)/AK38,0)</f>
        <v>6.8493150684931503E-2</v>
      </c>
      <c r="AR38" s="172">
        <f>AS38+AT38</f>
        <v>16</v>
      </c>
      <c r="AS38" s="4">
        <f>'Ανάλυση για νέους πελάτες'!H13</f>
        <v>16</v>
      </c>
      <c r="AT38" s="4"/>
      <c r="AU38" s="172">
        <f t="shared" ref="AU38:AU46" si="108">AP38+AR38</f>
        <v>484</v>
      </c>
      <c r="AV38" s="284">
        <f t="shared" ref="AV38:AV54" si="109">IFERROR((AU38-AP38)/AP38,0)</f>
        <v>3.4188034188034191E-2</v>
      </c>
      <c r="AW38" s="181">
        <f t="shared" ref="AW38:AW46" si="110">X38+AC38+AH38+AM38+AR38</f>
        <v>458</v>
      </c>
      <c r="AX38" s="192">
        <f t="shared" ref="AX38:AX54" si="111">IFERROR((AU38/AA38)^(1/4)-1,0)</f>
        <v>0.34476349606870649</v>
      </c>
    </row>
    <row r="39" spans="1:50" s="290" customFormat="1" outlineLevel="1" x14ac:dyDescent="0.25">
      <c r="A39" s="3"/>
      <c r="B39" s="52" t="s">
        <v>284</v>
      </c>
      <c r="C39" s="56" t="s">
        <v>22</v>
      </c>
      <c r="D39" s="4">
        <v>0</v>
      </c>
      <c r="E39" s="4">
        <v>0</v>
      </c>
      <c r="F39" s="4">
        <v>0</v>
      </c>
      <c r="G39" s="172">
        <f t="shared" si="90"/>
        <v>0</v>
      </c>
      <c r="H39" s="282">
        <f t="shared" si="91"/>
        <v>0</v>
      </c>
      <c r="I39" s="4">
        <v>0</v>
      </c>
      <c r="J39" s="172">
        <f t="shared" si="92"/>
        <v>0</v>
      </c>
      <c r="K39" s="282">
        <f t="shared" si="93"/>
        <v>0</v>
      </c>
      <c r="L39" s="4">
        <v>0</v>
      </c>
      <c r="M39" s="172">
        <f t="shared" si="94"/>
        <v>0</v>
      </c>
      <c r="N39" s="282">
        <f t="shared" si="95"/>
        <v>0</v>
      </c>
      <c r="O39" s="4">
        <f>'Ενεργοί πελάτες'!O39</f>
        <v>0</v>
      </c>
      <c r="P39" s="287"/>
      <c r="Q39" s="288"/>
      <c r="R39" s="4">
        <f>'Ενεργοί πελάτες'!R39</f>
        <v>0</v>
      </c>
      <c r="S39" s="172">
        <f t="shared" si="96"/>
        <v>0</v>
      </c>
      <c r="T39" s="286">
        <f t="shared" si="97"/>
        <v>0</v>
      </c>
      <c r="U39" s="181">
        <f t="shared" si="98"/>
        <v>0</v>
      </c>
      <c r="V39" s="289">
        <f t="shared" si="99"/>
        <v>0</v>
      </c>
      <c r="W39" s="3"/>
      <c r="X39" s="172">
        <f t="shared" ref="X39:X46" si="112">Y39+Z39</f>
        <v>179</v>
      </c>
      <c r="Y39" s="4">
        <f>'Ανάλυση για νέους πελάτες'!D14</f>
        <v>179</v>
      </c>
      <c r="Z39" s="285"/>
      <c r="AA39" s="172">
        <f t="shared" si="100"/>
        <v>179</v>
      </c>
      <c r="AB39" s="282">
        <f t="shared" si="101"/>
        <v>0</v>
      </c>
      <c r="AC39" s="172">
        <f t="shared" ref="AC39:AC46" si="113">AD39+AE39</f>
        <v>260</v>
      </c>
      <c r="AD39" s="4">
        <f>'Ανάλυση για νέους πελάτες'!E14</f>
        <v>260</v>
      </c>
      <c r="AE39" s="4"/>
      <c r="AF39" s="172">
        <f t="shared" si="102"/>
        <v>439</v>
      </c>
      <c r="AG39" s="286">
        <f t="shared" si="103"/>
        <v>1.4525139664804469</v>
      </c>
      <c r="AH39" s="172">
        <f t="shared" ref="AH39:AH46" si="114">AI39+AJ39</f>
        <v>254</v>
      </c>
      <c r="AI39" s="4">
        <f>'Ανάλυση για νέους πελάτες'!F14</f>
        <v>254</v>
      </c>
      <c r="AJ39" s="4"/>
      <c r="AK39" s="204">
        <f t="shared" si="104"/>
        <v>693</v>
      </c>
      <c r="AL39" s="286">
        <f t="shared" si="105"/>
        <v>0.57858769931662868</v>
      </c>
      <c r="AM39" s="172">
        <f t="shared" ref="AM39:AM46" si="115">AN39+AO39</f>
        <v>68</v>
      </c>
      <c r="AN39" s="4">
        <f>'Ανάλυση για νέους πελάτες'!G14</f>
        <v>68</v>
      </c>
      <c r="AO39" s="4"/>
      <c r="AP39" s="172">
        <f t="shared" si="106"/>
        <v>761</v>
      </c>
      <c r="AQ39" s="286">
        <f t="shared" si="107"/>
        <v>9.8124098124098127E-2</v>
      </c>
      <c r="AR39" s="172">
        <f t="shared" ref="AR39:AR46" si="116">AS39+AT39</f>
        <v>14</v>
      </c>
      <c r="AS39" s="4">
        <f>'Ανάλυση για νέους πελάτες'!H14</f>
        <v>14</v>
      </c>
      <c r="AT39" s="4"/>
      <c r="AU39" s="172">
        <f t="shared" si="108"/>
        <v>775</v>
      </c>
      <c r="AV39" s="286">
        <f t="shared" si="109"/>
        <v>1.8396846254927726E-2</v>
      </c>
      <c r="AW39" s="181">
        <f t="shared" si="110"/>
        <v>775</v>
      </c>
      <c r="AX39" s="289">
        <f t="shared" si="111"/>
        <v>0.4424878635456142</v>
      </c>
    </row>
    <row r="40" spans="1:50" s="290" customFormat="1" outlineLevel="1" x14ac:dyDescent="0.25">
      <c r="A40" s="3"/>
      <c r="B40" s="52" t="s">
        <v>285</v>
      </c>
      <c r="C40" s="56" t="s">
        <v>22</v>
      </c>
      <c r="D40" s="4">
        <v>0</v>
      </c>
      <c r="E40" s="4">
        <v>0</v>
      </c>
      <c r="F40" s="4">
        <v>0</v>
      </c>
      <c r="G40" s="172">
        <f t="shared" si="90"/>
        <v>0</v>
      </c>
      <c r="H40" s="282">
        <f t="shared" si="91"/>
        <v>0</v>
      </c>
      <c r="I40" s="4">
        <v>0</v>
      </c>
      <c r="J40" s="172">
        <f t="shared" si="92"/>
        <v>0</v>
      </c>
      <c r="K40" s="282">
        <f t="shared" si="93"/>
        <v>0</v>
      </c>
      <c r="L40" s="4">
        <v>0</v>
      </c>
      <c r="M40" s="172">
        <f t="shared" si="94"/>
        <v>0</v>
      </c>
      <c r="N40" s="282">
        <f t="shared" si="95"/>
        <v>0</v>
      </c>
      <c r="O40" s="4">
        <f>'Ενεργοί πελάτες'!O40</f>
        <v>0</v>
      </c>
      <c r="P40" s="287"/>
      <c r="Q40" s="288"/>
      <c r="R40" s="4">
        <f>'Ενεργοί πελάτες'!R40</f>
        <v>0</v>
      </c>
      <c r="S40" s="172">
        <f t="shared" si="96"/>
        <v>0</v>
      </c>
      <c r="T40" s="286">
        <f t="shared" si="97"/>
        <v>0</v>
      </c>
      <c r="U40" s="181">
        <f t="shared" si="98"/>
        <v>0</v>
      </c>
      <c r="V40" s="289">
        <f t="shared" si="99"/>
        <v>0</v>
      </c>
      <c r="W40" s="3"/>
      <c r="X40" s="172">
        <f t="shared" si="112"/>
        <v>168</v>
      </c>
      <c r="Y40" s="4">
        <f>'Ανάλυση για νέους πελάτες'!D15</f>
        <v>168</v>
      </c>
      <c r="Z40" s="285"/>
      <c r="AA40" s="172">
        <f t="shared" si="100"/>
        <v>168</v>
      </c>
      <c r="AB40" s="282">
        <f t="shared" si="101"/>
        <v>0</v>
      </c>
      <c r="AC40" s="172">
        <f t="shared" si="113"/>
        <v>255</v>
      </c>
      <c r="AD40" s="4">
        <f>'Ανάλυση για νέους πελάτες'!E15</f>
        <v>255</v>
      </c>
      <c r="AE40" s="4"/>
      <c r="AF40" s="172">
        <f t="shared" si="102"/>
        <v>423</v>
      </c>
      <c r="AG40" s="286">
        <f t="shared" si="103"/>
        <v>1.5178571428571428</v>
      </c>
      <c r="AH40" s="172">
        <f t="shared" si="114"/>
        <v>206</v>
      </c>
      <c r="AI40" s="4">
        <f>'Ανάλυση για νέους πελάτες'!F15</f>
        <v>206</v>
      </c>
      <c r="AJ40" s="4"/>
      <c r="AK40" s="204">
        <f t="shared" si="104"/>
        <v>629</v>
      </c>
      <c r="AL40" s="286">
        <f t="shared" si="105"/>
        <v>0.48699763593380613</v>
      </c>
      <c r="AM40" s="172">
        <f t="shared" si="115"/>
        <v>64</v>
      </c>
      <c r="AN40" s="4">
        <f>'Ανάλυση για νέους πελάτες'!G15</f>
        <v>64</v>
      </c>
      <c r="AO40" s="4"/>
      <c r="AP40" s="172">
        <f t="shared" si="106"/>
        <v>693</v>
      </c>
      <c r="AQ40" s="286">
        <f t="shared" si="107"/>
        <v>0.10174880763116058</v>
      </c>
      <c r="AR40" s="172">
        <f t="shared" si="116"/>
        <v>32</v>
      </c>
      <c r="AS40" s="4">
        <f>'Ανάλυση για νέους πελάτες'!H15</f>
        <v>32</v>
      </c>
      <c r="AT40" s="4"/>
      <c r="AU40" s="172">
        <f t="shared" si="108"/>
        <v>725</v>
      </c>
      <c r="AV40" s="286">
        <f t="shared" si="109"/>
        <v>4.6176046176046176E-2</v>
      </c>
      <c r="AW40" s="181">
        <f t="shared" si="110"/>
        <v>725</v>
      </c>
      <c r="AX40" s="289">
        <f t="shared" si="111"/>
        <v>0.44130927444356693</v>
      </c>
    </row>
    <row r="41" spans="1:50" s="3" customFormat="1" outlineLevel="1" x14ac:dyDescent="0.25">
      <c r="B41" s="52" t="s">
        <v>286</v>
      </c>
      <c r="C41" s="56" t="s">
        <v>22</v>
      </c>
      <c r="D41" s="4">
        <v>0</v>
      </c>
      <c r="E41" s="4">
        <v>0</v>
      </c>
      <c r="F41" s="4">
        <v>0</v>
      </c>
      <c r="G41" s="172">
        <f t="shared" si="90"/>
        <v>0</v>
      </c>
      <c r="H41" s="282">
        <f t="shared" si="91"/>
        <v>0</v>
      </c>
      <c r="I41" s="4">
        <v>0</v>
      </c>
      <c r="J41" s="172">
        <f t="shared" si="92"/>
        <v>0</v>
      </c>
      <c r="K41" s="282">
        <f t="shared" si="93"/>
        <v>0</v>
      </c>
      <c r="L41" s="4">
        <v>0</v>
      </c>
      <c r="M41" s="172">
        <f t="shared" si="94"/>
        <v>0</v>
      </c>
      <c r="N41" s="282">
        <f t="shared" si="95"/>
        <v>0</v>
      </c>
      <c r="O41" s="4">
        <f>'Ενεργοί πελάτες'!O41</f>
        <v>0</v>
      </c>
      <c r="P41" s="158"/>
      <c r="Q41" s="283"/>
      <c r="R41" s="4">
        <f>'Ενεργοί πελάτες'!R41</f>
        <v>0</v>
      </c>
      <c r="S41" s="172">
        <f t="shared" si="96"/>
        <v>0</v>
      </c>
      <c r="T41" s="282">
        <f t="shared" si="97"/>
        <v>0</v>
      </c>
      <c r="U41" s="181">
        <f t="shared" si="98"/>
        <v>0</v>
      </c>
      <c r="V41" s="192">
        <f t="shared" si="99"/>
        <v>0</v>
      </c>
      <c r="X41" s="172">
        <f t="shared" si="112"/>
        <v>235</v>
      </c>
      <c r="Y41" s="4"/>
      <c r="Z41" s="285">
        <f>'Ανάλυση για νέους πελάτες'!D16</f>
        <v>235</v>
      </c>
      <c r="AA41" s="172">
        <f t="shared" si="100"/>
        <v>235</v>
      </c>
      <c r="AB41" s="282">
        <f t="shared" si="101"/>
        <v>0</v>
      </c>
      <c r="AC41" s="172">
        <f t="shared" si="113"/>
        <v>1070</v>
      </c>
      <c r="AD41" s="4">
        <f>'Ανάλυση για νέους πελάτες'!E16</f>
        <v>1070</v>
      </c>
      <c r="AE41" s="4"/>
      <c r="AF41" s="172">
        <f t="shared" si="102"/>
        <v>1305</v>
      </c>
      <c r="AG41" s="284">
        <f t="shared" si="103"/>
        <v>4.5531914893617023</v>
      </c>
      <c r="AH41" s="172">
        <f t="shared" si="114"/>
        <v>810</v>
      </c>
      <c r="AI41" s="4">
        <f>'Ανάλυση για νέους πελάτες'!F16</f>
        <v>810</v>
      </c>
      <c r="AJ41" s="4"/>
      <c r="AK41" s="172">
        <f t="shared" si="104"/>
        <v>2115</v>
      </c>
      <c r="AL41" s="284">
        <f t="shared" si="105"/>
        <v>0.62068965517241381</v>
      </c>
      <c r="AM41" s="172">
        <f t="shared" si="115"/>
        <v>277</v>
      </c>
      <c r="AN41" s="4">
        <f>'Ανάλυση για νέους πελάτες'!G16</f>
        <v>277</v>
      </c>
      <c r="AO41" s="4"/>
      <c r="AP41" s="172">
        <f t="shared" si="106"/>
        <v>2392</v>
      </c>
      <c r="AQ41" s="284">
        <f t="shared" si="107"/>
        <v>0.1309692671394799</v>
      </c>
      <c r="AR41" s="172">
        <f t="shared" si="116"/>
        <v>138</v>
      </c>
      <c r="AS41" s="4">
        <f>'Ανάλυση για νέους πελάτες'!H16</f>
        <v>138</v>
      </c>
      <c r="AT41" s="4"/>
      <c r="AU41" s="172">
        <f t="shared" si="108"/>
        <v>2530</v>
      </c>
      <c r="AV41" s="284">
        <f t="shared" si="109"/>
        <v>5.7692307692307696E-2</v>
      </c>
      <c r="AW41" s="181">
        <f t="shared" si="110"/>
        <v>2530</v>
      </c>
      <c r="AX41" s="192">
        <f t="shared" si="111"/>
        <v>0.81139500042631907</v>
      </c>
    </row>
    <row r="42" spans="1:50" s="290" customFormat="1" outlineLevel="1" x14ac:dyDescent="0.25">
      <c r="A42" s="3"/>
      <c r="B42" s="52" t="s">
        <v>287</v>
      </c>
      <c r="C42" s="56" t="s">
        <v>22</v>
      </c>
      <c r="D42" s="4">
        <v>0</v>
      </c>
      <c r="E42" s="4">
        <v>0</v>
      </c>
      <c r="F42" s="4">
        <v>0</v>
      </c>
      <c r="G42" s="172">
        <f t="shared" si="90"/>
        <v>0</v>
      </c>
      <c r="H42" s="282">
        <f t="shared" si="91"/>
        <v>0</v>
      </c>
      <c r="I42" s="4">
        <v>0</v>
      </c>
      <c r="J42" s="172">
        <f t="shared" si="92"/>
        <v>0</v>
      </c>
      <c r="K42" s="282">
        <f t="shared" si="93"/>
        <v>0</v>
      </c>
      <c r="L42" s="4">
        <v>0</v>
      </c>
      <c r="M42" s="172">
        <f t="shared" si="94"/>
        <v>0</v>
      </c>
      <c r="N42" s="282">
        <f t="shared" si="95"/>
        <v>0</v>
      </c>
      <c r="O42" s="4">
        <f>'Ενεργοί πελάτες'!O42</f>
        <v>0</v>
      </c>
      <c r="P42" s="287"/>
      <c r="Q42" s="288"/>
      <c r="R42" s="4">
        <f>'Ενεργοί πελάτες'!R42</f>
        <v>0</v>
      </c>
      <c r="S42" s="172">
        <f t="shared" si="96"/>
        <v>0</v>
      </c>
      <c r="T42" s="286">
        <f t="shared" si="97"/>
        <v>0</v>
      </c>
      <c r="U42" s="181">
        <f t="shared" si="98"/>
        <v>0</v>
      </c>
      <c r="V42" s="289">
        <f t="shared" si="99"/>
        <v>0</v>
      </c>
      <c r="W42" s="3"/>
      <c r="X42" s="172">
        <f t="shared" si="112"/>
        <v>0</v>
      </c>
      <c r="Y42" s="285"/>
      <c r="Z42" s="285">
        <f>'Ανάλυση για νέους πελάτες'!D17</f>
        <v>0</v>
      </c>
      <c r="AA42" s="172">
        <f t="shared" si="100"/>
        <v>0</v>
      </c>
      <c r="AB42" s="282">
        <f t="shared" si="101"/>
        <v>0</v>
      </c>
      <c r="AC42" s="172">
        <f t="shared" si="113"/>
        <v>800</v>
      </c>
      <c r="AD42" s="4">
        <f>'Ανάλυση για νέους πελάτες'!E17</f>
        <v>800</v>
      </c>
      <c r="AE42" s="4"/>
      <c r="AF42" s="172">
        <f t="shared" si="102"/>
        <v>800</v>
      </c>
      <c r="AG42" s="286">
        <f t="shared" si="103"/>
        <v>0</v>
      </c>
      <c r="AH42" s="172">
        <f t="shared" si="114"/>
        <v>748</v>
      </c>
      <c r="AI42" s="4">
        <f>'Ανάλυση για νέους πελάτες'!F17</f>
        <v>748</v>
      </c>
      <c r="AJ42" s="4"/>
      <c r="AK42" s="204">
        <f t="shared" si="104"/>
        <v>1548</v>
      </c>
      <c r="AL42" s="286">
        <f t="shared" si="105"/>
        <v>0.93500000000000005</v>
      </c>
      <c r="AM42" s="172">
        <f t="shared" si="115"/>
        <v>686</v>
      </c>
      <c r="AN42" s="4">
        <f>'Ανάλυση για νέους πελάτες'!G17</f>
        <v>686</v>
      </c>
      <c r="AO42" s="4"/>
      <c r="AP42" s="172">
        <f t="shared" si="106"/>
        <v>2234</v>
      </c>
      <c r="AQ42" s="286">
        <f t="shared" si="107"/>
        <v>0.44315245478036175</v>
      </c>
      <c r="AR42" s="172">
        <f t="shared" si="116"/>
        <v>344</v>
      </c>
      <c r="AS42" s="4">
        <f>'Ανάλυση για νέους πελάτες'!H17</f>
        <v>344</v>
      </c>
      <c r="AT42" s="4"/>
      <c r="AU42" s="172">
        <f t="shared" si="108"/>
        <v>2578</v>
      </c>
      <c r="AV42" s="286">
        <f t="shared" si="109"/>
        <v>0.15398388540734109</v>
      </c>
      <c r="AW42" s="181">
        <f t="shared" si="110"/>
        <v>2578</v>
      </c>
      <c r="AX42" s="289">
        <f t="shared" si="111"/>
        <v>0</v>
      </c>
    </row>
    <row r="43" spans="1:50" s="3" customFormat="1" outlineLevel="1" x14ac:dyDescent="0.25">
      <c r="B43" s="52" t="s">
        <v>288</v>
      </c>
      <c r="C43" s="56" t="s">
        <v>22</v>
      </c>
      <c r="D43" s="4">
        <v>0</v>
      </c>
      <c r="E43" s="4">
        <v>0</v>
      </c>
      <c r="F43" s="4">
        <v>0</v>
      </c>
      <c r="G43" s="172">
        <f t="shared" si="90"/>
        <v>0</v>
      </c>
      <c r="H43" s="282">
        <f t="shared" si="91"/>
        <v>0</v>
      </c>
      <c r="I43" s="4">
        <v>0</v>
      </c>
      <c r="J43" s="172">
        <f t="shared" si="92"/>
        <v>0</v>
      </c>
      <c r="K43" s="282">
        <f t="shared" si="93"/>
        <v>0</v>
      </c>
      <c r="L43" s="4">
        <v>0</v>
      </c>
      <c r="M43" s="172">
        <f t="shared" si="94"/>
        <v>0</v>
      </c>
      <c r="N43" s="282">
        <f t="shared" si="95"/>
        <v>0</v>
      </c>
      <c r="O43" s="4">
        <f>'Ενεργοί πελάτες'!O43</f>
        <v>0</v>
      </c>
      <c r="P43" s="158"/>
      <c r="Q43" s="283"/>
      <c r="R43" s="4">
        <f>'Ενεργοί πελάτες'!R43</f>
        <v>0</v>
      </c>
      <c r="S43" s="172">
        <f t="shared" si="96"/>
        <v>0</v>
      </c>
      <c r="T43" s="282">
        <f t="shared" si="97"/>
        <v>0</v>
      </c>
      <c r="U43" s="181">
        <f t="shared" si="98"/>
        <v>0</v>
      </c>
      <c r="V43" s="192">
        <f t="shared" si="99"/>
        <v>0</v>
      </c>
      <c r="X43" s="172">
        <f t="shared" si="112"/>
        <v>195</v>
      </c>
      <c r="Y43" s="4"/>
      <c r="Z43" s="285">
        <f>'Ανάλυση για νέους πελάτες'!D18</f>
        <v>195</v>
      </c>
      <c r="AA43" s="172">
        <f t="shared" si="100"/>
        <v>195</v>
      </c>
      <c r="AB43" s="282">
        <f t="shared" si="101"/>
        <v>0</v>
      </c>
      <c r="AC43" s="172">
        <f t="shared" si="113"/>
        <v>360</v>
      </c>
      <c r="AD43" s="4">
        <f>'Ανάλυση για νέους πελάτες'!E18</f>
        <v>360</v>
      </c>
      <c r="AE43" s="4"/>
      <c r="AF43" s="172">
        <f t="shared" si="102"/>
        <v>555</v>
      </c>
      <c r="AG43" s="284">
        <f t="shared" si="103"/>
        <v>1.8461538461538463</v>
      </c>
      <c r="AH43" s="172">
        <f t="shared" si="114"/>
        <v>218</v>
      </c>
      <c r="AI43" s="4">
        <f>'Ανάλυση για νέους πελάτες'!F18</f>
        <v>218</v>
      </c>
      <c r="AJ43" s="4"/>
      <c r="AK43" s="172">
        <f t="shared" si="104"/>
        <v>773</v>
      </c>
      <c r="AL43" s="284">
        <f t="shared" si="105"/>
        <v>0.39279279279279278</v>
      </c>
      <c r="AM43" s="172">
        <f t="shared" si="115"/>
        <v>50</v>
      </c>
      <c r="AN43" s="4">
        <f>'Ανάλυση για νέους πελάτες'!G18</f>
        <v>50</v>
      </c>
      <c r="AO43" s="4"/>
      <c r="AP43" s="172">
        <f t="shared" si="106"/>
        <v>823</v>
      </c>
      <c r="AQ43" s="284">
        <f t="shared" si="107"/>
        <v>6.4683053040103494E-2</v>
      </c>
      <c r="AR43" s="172">
        <f t="shared" si="116"/>
        <v>25</v>
      </c>
      <c r="AS43" s="4">
        <f>'Ανάλυση για νέους πελάτες'!H18</f>
        <v>25</v>
      </c>
      <c r="AT43" s="4"/>
      <c r="AU43" s="172">
        <f t="shared" si="108"/>
        <v>848</v>
      </c>
      <c r="AV43" s="284">
        <f t="shared" si="109"/>
        <v>3.0376670716889428E-2</v>
      </c>
      <c r="AW43" s="181">
        <f t="shared" si="110"/>
        <v>848</v>
      </c>
      <c r="AX43" s="192">
        <f t="shared" si="111"/>
        <v>0.44407686448545358</v>
      </c>
    </row>
    <row r="44" spans="1:50" s="3" customFormat="1" ht="16.5" customHeight="1" outlineLevel="1" x14ac:dyDescent="0.25">
      <c r="B44" s="52" t="s">
        <v>289</v>
      </c>
      <c r="C44" s="56" t="s">
        <v>22</v>
      </c>
      <c r="D44" s="4">
        <v>0</v>
      </c>
      <c r="E44" s="4">
        <v>0</v>
      </c>
      <c r="F44" s="4">
        <v>0</v>
      </c>
      <c r="G44" s="172">
        <f t="shared" si="90"/>
        <v>0</v>
      </c>
      <c r="H44" s="282">
        <f t="shared" si="91"/>
        <v>0</v>
      </c>
      <c r="I44" s="4">
        <v>0</v>
      </c>
      <c r="J44" s="172">
        <f t="shared" si="92"/>
        <v>0</v>
      </c>
      <c r="K44" s="282">
        <f t="shared" si="93"/>
        <v>0</v>
      </c>
      <c r="L44" s="4">
        <v>0</v>
      </c>
      <c r="M44" s="172">
        <f t="shared" si="94"/>
        <v>0</v>
      </c>
      <c r="N44" s="282">
        <f t="shared" si="95"/>
        <v>0</v>
      </c>
      <c r="O44" s="4">
        <f>'Ενεργοί πελάτες'!O44</f>
        <v>0</v>
      </c>
      <c r="P44" s="158"/>
      <c r="Q44" s="283"/>
      <c r="R44" s="4">
        <f>'Ενεργοί πελάτες'!R44</f>
        <v>0</v>
      </c>
      <c r="S44" s="172">
        <f t="shared" si="96"/>
        <v>0</v>
      </c>
      <c r="T44" s="282">
        <f t="shared" si="97"/>
        <v>0</v>
      </c>
      <c r="U44" s="181">
        <f t="shared" si="98"/>
        <v>0</v>
      </c>
      <c r="V44" s="192">
        <f t="shared" si="99"/>
        <v>0</v>
      </c>
      <c r="X44" s="172">
        <f t="shared" si="112"/>
        <v>274</v>
      </c>
      <c r="Y44" s="4"/>
      <c r="Z44" s="285">
        <f>'Ανάλυση για νέους πελάτες'!D19</f>
        <v>274</v>
      </c>
      <c r="AA44" s="172">
        <f t="shared" si="100"/>
        <v>274</v>
      </c>
      <c r="AB44" s="282">
        <f t="shared" si="101"/>
        <v>0</v>
      </c>
      <c r="AC44" s="172">
        <f t="shared" si="113"/>
        <v>1449</v>
      </c>
      <c r="AD44" s="4">
        <f>'Ανάλυση για νέους πελάτες'!E19</f>
        <v>1449</v>
      </c>
      <c r="AE44" s="4"/>
      <c r="AF44" s="172">
        <f t="shared" si="102"/>
        <v>1723</v>
      </c>
      <c r="AG44" s="284">
        <f t="shared" si="103"/>
        <v>5.288321167883212</v>
      </c>
      <c r="AH44" s="172">
        <f t="shared" si="114"/>
        <v>1050</v>
      </c>
      <c r="AI44" s="4">
        <f>'Ανάλυση για νέους πελάτες'!F19</f>
        <v>1050</v>
      </c>
      <c r="AJ44" s="4"/>
      <c r="AK44" s="172">
        <f t="shared" si="104"/>
        <v>2773</v>
      </c>
      <c r="AL44" s="284">
        <f t="shared" si="105"/>
        <v>0.60940220545560064</v>
      </c>
      <c r="AM44" s="172">
        <f t="shared" si="115"/>
        <v>1050</v>
      </c>
      <c r="AN44" s="4">
        <f>'Ανάλυση για νέους πελάτες'!G19</f>
        <v>1050</v>
      </c>
      <c r="AO44" s="4"/>
      <c r="AP44" s="172">
        <f t="shared" si="106"/>
        <v>3823</v>
      </c>
      <c r="AQ44" s="284">
        <f t="shared" si="107"/>
        <v>0.37865128020194733</v>
      </c>
      <c r="AR44" s="172">
        <f t="shared" si="116"/>
        <v>525</v>
      </c>
      <c r="AS44" s="4">
        <f>'Ανάλυση για νέους πελάτες'!H19</f>
        <v>525</v>
      </c>
      <c r="AT44" s="4"/>
      <c r="AU44" s="172">
        <f t="shared" si="108"/>
        <v>4348</v>
      </c>
      <c r="AV44" s="284">
        <f t="shared" si="109"/>
        <v>0.1373267067747842</v>
      </c>
      <c r="AW44" s="181">
        <f t="shared" si="110"/>
        <v>4348</v>
      </c>
      <c r="AX44" s="192">
        <f t="shared" si="111"/>
        <v>0.99588145623801028</v>
      </c>
    </row>
    <row r="45" spans="1:50" s="3" customFormat="1" ht="16.5" customHeight="1" outlineLevel="1" x14ac:dyDescent="0.25">
      <c r="B45" s="52" t="s">
        <v>290</v>
      </c>
      <c r="C45" s="56" t="s">
        <v>22</v>
      </c>
      <c r="D45" s="4">
        <v>0</v>
      </c>
      <c r="E45" s="4">
        <v>0</v>
      </c>
      <c r="F45" s="4">
        <v>0</v>
      </c>
      <c r="G45" s="172">
        <f t="shared" si="90"/>
        <v>0</v>
      </c>
      <c r="H45" s="282">
        <f t="shared" si="91"/>
        <v>0</v>
      </c>
      <c r="I45" s="4">
        <v>0</v>
      </c>
      <c r="J45" s="172">
        <f t="shared" si="92"/>
        <v>0</v>
      </c>
      <c r="K45" s="282">
        <f t="shared" si="93"/>
        <v>0</v>
      </c>
      <c r="L45" s="4">
        <v>0</v>
      </c>
      <c r="M45" s="172">
        <f t="shared" si="94"/>
        <v>0</v>
      </c>
      <c r="N45" s="282">
        <f t="shared" si="95"/>
        <v>0</v>
      </c>
      <c r="O45" s="4">
        <f>'Ενεργοί πελάτες'!O45</f>
        <v>0</v>
      </c>
      <c r="P45" s="158"/>
      <c r="Q45" s="283"/>
      <c r="R45" s="4">
        <f>'Ενεργοί πελάτες'!R45</f>
        <v>0</v>
      </c>
      <c r="S45" s="172">
        <f t="shared" si="96"/>
        <v>0</v>
      </c>
      <c r="T45" s="282">
        <f t="shared" si="97"/>
        <v>0</v>
      </c>
      <c r="U45" s="181">
        <f t="shared" si="98"/>
        <v>0</v>
      </c>
      <c r="V45" s="192">
        <f t="shared" si="99"/>
        <v>0</v>
      </c>
      <c r="X45" s="172">
        <f t="shared" si="112"/>
        <v>362</v>
      </c>
      <c r="Y45" s="4"/>
      <c r="Z45" s="285">
        <f>'Ανάλυση για νέους πελάτες'!D20</f>
        <v>362</v>
      </c>
      <c r="AA45" s="172">
        <f t="shared" si="100"/>
        <v>362</v>
      </c>
      <c r="AB45" s="282">
        <f t="shared" si="101"/>
        <v>0</v>
      </c>
      <c r="AC45" s="172">
        <f t="shared" si="113"/>
        <v>1399</v>
      </c>
      <c r="AD45" s="4">
        <f>'Ανάλυση για νέους πελάτες'!E20</f>
        <v>1399</v>
      </c>
      <c r="AE45" s="4"/>
      <c r="AF45" s="172">
        <f t="shared" si="102"/>
        <v>1761</v>
      </c>
      <c r="AG45" s="284">
        <f t="shared" si="103"/>
        <v>3.8646408839779007</v>
      </c>
      <c r="AH45" s="172">
        <f t="shared" si="114"/>
        <v>1229</v>
      </c>
      <c r="AI45" s="4">
        <f>'Ανάλυση για νέους πελάτες'!F20</f>
        <v>1229</v>
      </c>
      <c r="AJ45" s="4"/>
      <c r="AK45" s="172">
        <f t="shared" si="104"/>
        <v>2990</v>
      </c>
      <c r="AL45" s="284">
        <f t="shared" si="105"/>
        <v>0.69789892106757523</v>
      </c>
      <c r="AM45" s="172">
        <f t="shared" si="115"/>
        <v>1050</v>
      </c>
      <c r="AN45" s="4">
        <f>'Ανάλυση για νέους πελάτες'!G20</f>
        <v>1050</v>
      </c>
      <c r="AO45" s="4"/>
      <c r="AP45" s="172">
        <f t="shared" si="106"/>
        <v>4040</v>
      </c>
      <c r="AQ45" s="284">
        <f t="shared" si="107"/>
        <v>0.3511705685618729</v>
      </c>
      <c r="AR45" s="172">
        <f t="shared" si="116"/>
        <v>525</v>
      </c>
      <c r="AS45" s="4">
        <f>'Ανάλυση για νέους πελάτες'!H20</f>
        <v>525</v>
      </c>
      <c r="AT45" s="4"/>
      <c r="AU45" s="172">
        <f t="shared" si="108"/>
        <v>4565</v>
      </c>
      <c r="AV45" s="284">
        <f t="shared" si="109"/>
        <v>0.12995049504950495</v>
      </c>
      <c r="AW45" s="181">
        <f t="shared" si="110"/>
        <v>4565</v>
      </c>
      <c r="AX45" s="192">
        <f t="shared" si="111"/>
        <v>0.88444320499540141</v>
      </c>
    </row>
    <row r="46" spans="1:50" s="3" customFormat="1" ht="16.5" customHeight="1" outlineLevel="1" x14ac:dyDescent="0.25">
      <c r="B46" s="52" t="s">
        <v>291</v>
      </c>
      <c r="C46" s="56" t="s">
        <v>22</v>
      </c>
      <c r="D46" s="4">
        <v>0</v>
      </c>
      <c r="E46" s="4">
        <v>0</v>
      </c>
      <c r="F46" s="4">
        <v>0</v>
      </c>
      <c r="G46" s="172">
        <f t="shared" si="90"/>
        <v>0</v>
      </c>
      <c r="H46" s="282">
        <f t="shared" si="91"/>
        <v>0</v>
      </c>
      <c r="I46" s="4">
        <v>0</v>
      </c>
      <c r="J46" s="172">
        <f t="shared" si="92"/>
        <v>0</v>
      </c>
      <c r="K46" s="282">
        <f t="shared" si="93"/>
        <v>0</v>
      </c>
      <c r="L46" s="4">
        <v>0</v>
      </c>
      <c r="M46" s="172">
        <f t="shared" si="94"/>
        <v>0</v>
      </c>
      <c r="N46" s="282">
        <f t="shared" si="95"/>
        <v>0</v>
      </c>
      <c r="O46" s="4">
        <f>'Ενεργοί πελάτες'!O46</f>
        <v>37</v>
      </c>
      <c r="P46" s="158"/>
      <c r="Q46" s="283"/>
      <c r="R46" s="4">
        <f>'Ενεργοί πελάτες'!R46</f>
        <v>1158</v>
      </c>
      <c r="S46" s="172">
        <f t="shared" si="96"/>
        <v>1158</v>
      </c>
      <c r="T46" s="282">
        <f t="shared" si="97"/>
        <v>0</v>
      </c>
      <c r="U46" s="181">
        <f t="shared" si="98"/>
        <v>1158</v>
      </c>
      <c r="V46" s="192">
        <f t="shared" si="99"/>
        <v>0</v>
      </c>
      <c r="X46" s="172">
        <f t="shared" si="112"/>
        <v>147</v>
      </c>
      <c r="Y46" s="4">
        <f>'Ανάλυση για νέους πελάτες'!D21</f>
        <v>147</v>
      </c>
      <c r="Z46" s="285"/>
      <c r="AA46" s="172">
        <f t="shared" si="100"/>
        <v>1305</v>
      </c>
      <c r="AB46" s="282">
        <f t="shared" si="101"/>
        <v>0.12694300518134716</v>
      </c>
      <c r="AC46" s="172">
        <f t="shared" si="113"/>
        <v>111</v>
      </c>
      <c r="AD46" s="4">
        <f>'Ανάλυση για νέους πελάτες'!E21</f>
        <v>111</v>
      </c>
      <c r="AE46" s="4"/>
      <c r="AF46" s="172">
        <f t="shared" si="102"/>
        <v>1416</v>
      </c>
      <c r="AG46" s="284">
        <f t="shared" si="103"/>
        <v>8.5057471264367815E-2</v>
      </c>
      <c r="AH46" s="172">
        <f t="shared" si="114"/>
        <v>25</v>
      </c>
      <c r="AI46" s="4">
        <f>'Ανάλυση για νέους πελάτες'!F21</f>
        <v>25</v>
      </c>
      <c r="AJ46" s="4"/>
      <c r="AK46" s="172">
        <f t="shared" si="104"/>
        <v>1441</v>
      </c>
      <c r="AL46" s="284">
        <f t="shared" si="105"/>
        <v>1.7655367231638418E-2</v>
      </c>
      <c r="AM46" s="172">
        <f t="shared" si="115"/>
        <v>25</v>
      </c>
      <c r="AN46" s="4">
        <f>'Ανάλυση για νέους πελάτες'!G21</f>
        <v>25</v>
      </c>
      <c r="AO46" s="4"/>
      <c r="AP46" s="172">
        <f t="shared" si="106"/>
        <v>1466</v>
      </c>
      <c r="AQ46" s="284">
        <f t="shared" si="107"/>
        <v>1.7349063150589868E-2</v>
      </c>
      <c r="AR46" s="172">
        <f t="shared" si="116"/>
        <v>17</v>
      </c>
      <c r="AS46" s="4">
        <f>'Ανάλυση για νέους πελάτες'!H21</f>
        <v>17</v>
      </c>
      <c r="AT46" s="4"/>
      <c r="AU46" s="172">
        <f t="shared" si="108"/>
        <v>1483</v>
      </c>
      <c r="AV46" s="284">
        <f t="shared" si="109"/>
        <v>1.1596180081855388E-2</v>
      </c>
      <c r="AW46" s="181">
        <f t="shared" si="110"/>
        <v>325</v>
      </c>
      <c r="AX46" s="192">
        <f t="shared" si="111"/>
        <v>3.2482406083759185E-2</v>
      </c>
    </row>
    <row r="47" spans="1:50" s="3" customFormat="1" ht="16.5" customHeight="1" outlineLevel="1" x14ac:dyDescent="0.25">
      <c r="B47" s="52" t="s">
        <v>307</v>
      </c>
      <c r="C47" s="56" t="s">
        <v>22</v>
      </c>
      <c r="D47" s="4"/>
      <c r="E47" s="4"/>
      <c r="F47" s="4"/>
      <c r="G47" s="172"/>
      <c r="H47" s="282">
        <f t="shared" si="91"/>
        <v>0</v>
      </c>
      <c r="I47" s="4"/>
      <c r="J47" s="172"/>
      <c r="K47" s="282">
        <f t="shared" si="93"/>
        <v>0</v>
      </c>
      <c r="L47" s="4"/>
      <c r="M47" s="172"/>
      <c r="N47" s="282">
        <f t="shared" si="95"/>
        <v>0</v>
      </c>
      <c r="O47" s="4"/>
      <c r="P47" s="158"/>
      <c r="Q47" s="283"/>
      <c r="R47" s="4"/>
      <c r="S47" s="172"/>
      <c r="T47" s="282">
        <f t="shared" si="97"/>
        <v>0</v>
      </c>
      <c r="U47" s="181">
        <f t="shared" si="98"/>
        <v>0</v>
      </c>
      <c r="V47" s="192">
        <f t="shared" si="99"/>
        <v>0</v>
      </c>
      <c r="X47" s="172">
        <f t="shared" ref="X47:X51" si="117">Y47+Z47</f>
        <v>55</v>
      </c>
      <c r="Y47" s="4"/>
      <c r="Z47" s="285">
        <f>'Ανάλυση για νέους πελάτες'!D22</f>
        <v>55</v>
      </c>
      <c r="AA47" s="172">
        <f t="shared" ref="AA47:AA51" si="118">S47+X47</f>
        <v>55</v>
      </c>
      <c r="AB47" s="282">
        <f t="shared" ref="AB47:AB51" si="119">IFERROR((AA47-S47)/S47,0)</f>
        <v>0</v>
      </c>
      <c r="AC47" s="172">
        <f t="shared" ref="AC47:AC51" si="120">AD47+AE47</f>
        <v>85</v>
      </c>
      <c r="AD47" s="4">
        <f>'Ανάλυση για νέους πελάτες'!E22</f>
        <v>85</v>
      </c>
      <c r="AE47" s="4"/>
      <c r="AF47" s="172">
        <f t="shared" ref="AF47:AF51" si="121">AA47+AC47</f>
        <v>140</v>
      </c>
      <c r="AG47" s="284">
        <f t="shared" ref="AG47:AG51" si="122">IFERROR((AF47-AA47)/AA47,0)</f>
        <v>1.5454545454545454</v>
      </c>
      <c r="AH47" s="172">
        <f t="shared" ref="AH47:AH51" si="123">AI47+AJ47</f>
        <v>90</v>
      </c>
      <c r="AI47" s="4">
        <f>'Ανάλυση για νέους πελάτες'!F22</f>
        <v>90</v>
      </c>
      <c r="AJ47" s="4"/>
      <c r="AK47" s="172">
        <f t="shared" ref="AK47:AK51" si="124">AF47+AH47</f>
        <v>230</v>
      </c>
      <c r="AL47" s="284">
        <f t="shared" ref="AL47:AL51" si="125">IFERROR((AK47-AF47)/AF47,0)</f>
        <v>0.6428571428571429</v>
      </c>
      <c r="AM47" s="172">
        <f t="shared" ref="AM47:AM51" si="126">AN47+AO47</f>
        <v>55</v>
      </c>
      <c r="AN47" s="4">
        <f>'Ανάλυση για νέους πελάτες'!G22</f>
        <v>55</v>
      </c>
      <c r="AO47" s="4"/>
      <c r="AP47" s="172">
        <f t="shared" ref="AP47:AP51" si="127">AK47+AM47</f>
        <v>285</v>
      </c>
      <c r="AQ47" s="284">
        <f t="shared" ref="AQ47:AQ51" si="128">IFERROR((AP47-AK47)/AK47,0)</f>
        <v>0.2391304347826087</v>
      </c>
      <c r="AR47" s="172">
        <f t="shared" ref="AR47:AR51" si="129">AS47+AT47</f>
        <v>45</v>
      </c>
      <c r="AS47" s="4">
        <f>'Ανάλυση για νέους πελάτες'!H22</f>
        <v>45</v>
      </c>
      <c r="AT47" s="4"/>
      <c r="AU47" s="172">
        <f t="shared" ref="AU47:AU51" si="130">AP47+AR47</f>
        <v>330</v>
      </c>
      <c r="AV47" s="284">
        <f t="shared" ref="AV47:AV51" si="131">IFERROR((AU47-AP47)/AP47,0)</f>
        <v>0.15789473684210525</v>
      </c>
      <c r="AW47" s="181">
        <f t="shared" ref="AW47:AW51" si="132">X47+AC47+AH47+AM47+AR47</f>
        <v>330</v>
      </c>
      <c r="AX47" s="192">
        <f t="shared" si="111"/>
        <v>0.56508458007328732</v>
      </c>
    </row>
    <row r="48" spans="1:50" s="3" customFormat="1" ht="16.5" customHeight="1" outlineLevel="1" x14ac:dyDescent="0.25">
      <c r="B48" s="52" t="s">
        <v>304</v>
      </c>
      <c r="C48" s="56" t="s">
        <v>22</v>
      </c>
      <c r="D48" s="4"/>
      <c r="E48" s="4"/>
      <c r="F48" s="4"/>
      <c r="G48" s="172"/>
      <c r="H48" s="282">
        <f t="shared" si="91"/>
        <v>0</v>
      </c>
      <c r="I48" s="4"/>
      <c r="J48" s="172"/>
      <c r="K48" s="282">
        <f t="shared" si="93"/>
        <v>0</v>
      </c>
      <c r="L48" s="4"/>
      <c r="M48" s="172"/>
      <c r="N48" s="282">
        <f t="shared" si="95"/>
        <v>0</v>
      </c>
      <c r="O48" s="4"/>
      <c r="P48" s="158"/>
      <c r="Q48" s="283"/>
      <c r="R48" s="4"/>
      <c r="S48" s="172"/>
      <c r="T48" s="282">
        <f t="shared" si="97"/>
        <v>0</v>
      </c>
      <c r="U48" s="181">
        <f t="shared" si="98"/>
        <v>0</v>
      </c>
      <c r="V48" s="192">
        <f t="shared" si="99"/>
        <v>0</v>
      </c>
      <c r="X48" s="172">
        <f t="shared" si="117"/>
        <v>55</v>
      </c>
      <c r="Y48" s="4"/>
      <c r="Z48" s="285">
        <f>'Ανάλυση για νέους πελάτες'!D23</f>
        <v>55</v>
      </c>
      <c r="AA48" s="172">
        <f t="shared" si="118"/>
        <v>55</v>
      </c>
      <c r="AB48" s="282">
        <f t="shared" si="119"/>
        <v>0</v>
      </c>
      <c r="AC48" s="172">
        <f t="shared" si="120"/>
        <v>85</v>
      </c>
      <c r="AD48" s="4">
        <f>'Ανάλυση για νέους πελάτες'!E23</f>
        <v>85</v>
      </c>
      <c r="AE48" s="4"/>
      <c r="AF48" s="172">
        <f t="shared" si="121"/>
        <v>140</v>
      </c>
      <c r="AG48" s="284">
        <f t="shared" si="122"/>
        <v>1.5454545454545454</v>
      </c>
      <c r="AH48" s="172">
        <f t="shared" si="123"/>
        <v>140</v>
      </c>
      <c r="AI48" s="4">
        <f>'Ανάλυση για νέους πελάτες'!F23</f>
        <v>140</v>
      </c>
      <c r="AJ48" s="4"/>
      <c r="AK48" s="172">
        <f t="shared" si="124"/>
        <v>280</v>
      </c>
      <c r="AL48" s="284">
        <f t="shared" si="125"/>
        <v>1</v>
      </c>
      <c r="AM48" s="172">
        <f t="shared" si="126"/>
        <v>65</v>
      </c>
      <c r="AN48" s="4">
        <f>'Ανάλυση για νέους πελάτες'!G23</f>
        <v>65</v>
      </c>
      <c r="AO48" s="4"/>
      <c r="AP48" s="172">
        <f t="shared" si="127"/>
        <v>345</v>
      </c>
      <c r="AQ48" s="284">
        <f t="shared" si="128"/>
        <v>0.23214285714285715</v>
      </c>
      <c r="AR48" s="172">
        <f t="shared" si="129"/>
        <v>45</v>
      </c>
      <c r="AS48" s="4">
        <f>'Ανάλυση για νέους πελάτες'!H23</f>
        <v>45</v>
      </c>
      <c r="AT48" s="4"/>
      <c r="AU48" s="172">
        <f t="shared" si="130"/>
        <v>390</v>
      </c>
      <c r="AV48" s="284">
        <f t="shared" si="131"/>
        <v>0.13043478260869565</v>
      </c>
      <c r="AW48" s="181">
        <f t="shared" si="132"/>
        <v>390</v>
      </c>
      <c r="AX48" s="192">
        <f t="shared" si="111"/>
        <v>0.63183212794569754</v>
      </c>
    </row>
    <row r="49" spans="1:50" s="3" customFormat="1" ht="16.5" customHeight="1" outlineLevel="1" x14ac:dyDescent="0.25">
      <c r="B49" s="52" t="s">
        <v>305</v>
      </c>
      <c r="C49" s="56" t="s">
        <v>22</v>
      </c>
      <c r="D49" s="4"/>
      <c r="E49" s="4"/>
      <c r="F49" s="4"/>
      <c r="G49" s="172"/>
      <c r="H49" s="282">
        <f t="shared" si="91"/>
        <v>0</v>
      </c>
      <c r="I49" s="4"/>
      <c r="J49" s="172"/>
      <c r="K49" s="282">
        <f t="shared" si="93"/>
        <v>0</v>
      </c>
      <c r="L49" s="4"/>
      <c r="M49" s="172"/>
      <c r="N49" s="282">
        <f t="shared" si="95"/>
        <v>0</v>
      </c>
      <c r="O49" s="4"/>
      <c r="P49" s="158"/>
      <c r="Q49" s="283"/>
      <c r="R49" s="4"/>
      <c r="S49" s="172"/>
      <c r="T49" s="282">
        <f t="shared" si="97"/>
        <v>0</v>
      </c>
      <c r="U49" s="181">
        <f t="shared" si="98"/>
        <v>0</v>
      </c>
      <c r="V49" s="192">
        <f t="shared" si="99"/>
        <v>0</v>
      </c>
      <c r="X49" s="172">
        <f t="shared" si="117"/>
        <v>55</v>
      </c>
      <c r="Y49" s="4"/>
      <c r="Z49" s="285">
        <f>'Ανάλυση για νέους πελάτες'!D24</f>
        <v>55</v>
      </c>
      <c r="AA49" s="172">
        <f t="shared" si="118"/>
        <v>55</v>
      </c>
      <c r="AB49" s="282">
        <f t="shared" si="119"/>
        <v>0</v>
      </c>
      <c r="AC49" s="172">
        <f t="shared" si="120"/>
        <v>85</v>
      </c>
      <c r="AD49" s="4">
        <f>'Ανάλυση για νέους πελάτες'!E24</f>
        <v>85</v>
      </c>
      <c r="AE49" s="4"/>
      <c r="AF49" s="172">
        <f t="shared" si="121"/>
        <v>140</v>
      </c>
      <c r="AG49" s="284">
        <f t="shared" si="122"/>
        <v>1.5454545454545454</v>
      </c>
      <c r="AH49" s="172">
        <f t="shared" si="123"/>
        <v>120</v>
      </c>
      <c r="AI49" s="4">
        <f>'Ανάλυση για νέους πελάτες'!F24</f>
        <v>120</v>
      </c>
      <c r="AJ49" s="4"/>
      <c r="AK49" s="172">
        <f t="shared" si="124"/>
        <v>260</v>
      </c>
      <c r="AL49" s="284">
        <f t="shared" si="125"/>
        <v>0.8571428571428571</v>
      </c>
      <c r="AM49" s="172">
        <f t="shared" si="126"/>
        <v>55</v>
      </c>
      <c r="AN49" s="4">
        <f>'Ανάλυση για νέους πελάτες'!G24</f>
        <v>55</v>
      </c>
      <c r="AO49" s="4"/>
      <c r="AP49" s="172">
        <f t="shared" si="127"/>
        <v>315</v>
      </c>
      <c r="AQ49" s="284">
        <f t="shared" si="128"/>
        <v>0.21153846153846154</v>
      </c>
      <c r="AR49" s="172">
        <f t="shared" si="129"/>
        <v>45</v>
      </c>
      <c r="AS49" s="4">
        <f>'Ανάλυση για νέους πελάτες'!H24</f>
        <v>45</v>
      </c>
      <c r="AT49" s="4"/>
      <c r="AU49" s="172">
        <f t="shared" si="130"/>
        <v>360</v>
      </c>
      <c r="AV49" s="284">
        <f t="shared" si="131"/>
        <v>0.14285714285714285</v>
      </c>
      <c r="AW49" s="181">
        <f t="shared" si="132"/>
        <v>360</v>
      </c>
      <c r="AX49" s="192">
        <f t="shared" si="111"/>
        <v>0.59950260902173125</v>
      </c>
    </row>
    <row r="50" spans="1:50" s="3" customFormat="1" ht="16.5" customHeight="1" outlineLevel="1" x14ac:dyDescent="0.25">
      <c r="B50" s="52" t="s">
        <v>306</v>
      </c>
      <c r="C50" s="56" t="s">
        <v>22</v>
      </c>
      <c r="D50" s="4"/>
      <c r="E50" s="4"/>
      <c r="F50" s="4"/>
      <c r="G50" s="172"/>
      <c r="H50" s="282">
        <f t="shared" si="91"/>
        <v>0</v>
      </c>
      <c r="I50" s="4"/>
      <c r="J50" s="172"/>
      <c r="K50" s="282">
        <f t="shared" si="93"/>
        <v>0</v>
      </c>
      <c r="L50" s="4"/>
      <c r="M50" s="172"/>
      <c r="N50" s="282">
        <f t="shared" si="95"/>
        <v>0</v>
      </c>
      <c r="O50" s="4"/>
      <c r="P50" s="158"/>
      <c r="Q50" s="283"/>
      <c r="R50" s="4"/>
      <c r="S50" s="172"/>
      <c r="T50" s="282">
        <f t="shared" si="97"/>
        <v>0</v>
      </c>
      <c r="U50" s="181">
        <f t="shared" si="98"/>
        <v>0</v>
      </c>
      <c r="V50" s="192">
        <f t="shared" si="99"/>
        <v>0</v>
      </c>
      <c r="X50" s="172">
        <f t="shared" si="117"/>
        <v>106</v>
      </c>
      <c r="Y50" s="4">
        <f>'Ανάλυση για νέους πελάτες'!D25</f>
        <v>106</v>
      </c>
      <c r="Z50" s="285"/>
      <c r="AA50" s="172">
        <f t="shared" si="118"/>
        <v>106</v>
      </c>
      <c r="AB50" s="282">
        <f t="shared" si="119"/>
        <v>0</v>
      </c>
      <c r="AC50" s="172">
        <f t="shared" si="120"/>
        <v>124</v>
      </c>
      <c r="AD50" s="4">
        <f>'Ανάλυση για νέους πελάτες'!E25</f>
        <v>124</v>
      </c>
      <c r="AE50" s="4"/>
      <c r="AF50" s="172">
        <f t="shared" si="121"/>
        <v>230</v>
      </c>
      <c r="AG50" s="284">
        <f t="shared" si="122"/>
        <v>1.1698113207547169</v>
      </c>
      <c r="AH50" s="172">
        <f t="shared" si="123"/>
        <v>162</v>
      </c>
      <c r="AI50" s="4">
        <f>'Ανάλυση για νέους πελάτες'!F25</f>
        <v>162</v>
      </c>
      <c r="AJ50" s="4"/>
      <c r="AK50" s="172">
        <f t="shared" si="124"/>
        <v>392</v>
      </c>
      <c r="AL50" s="284">
        <f t="shared" si="125"/>
        <v>0.70434782608695656</v>
      </c>
      <c r="AM50" s="172">
        <f t="shared" si="126"/>
        <v>159</v>
      </c>
      <c r="AN50" s="4">
        <f>'Ανάλυση για νέους πελάτες'!G25</f>
        <v>159</v>
      </c>
      <c r="AO50" s="4"/>
      <c r="AP50" s="172">
        <f t="shared" si="127"/>
        <v>551</v>
      </c>
      <c r="AQ50" s="284">
        <f t="shared" si="128"/>
        <v>0.40561224489795916</v>
      </c>
      <c r="AR50" s="172">
        <f t="shared" si="129"/>
        <v>100</v>
      </c>
      <c r="AS50" s="4">
        <f>'Ανάλυση για νέους πελάτες'!H25</f>
        <v>100</v>
      </c>
      <c r="AT50" s="4"/>
      <c r="AU50" s="172">
        <f t="shared" si="130"/>
        <v>651</v>
      </c>
      <c r="AV50" s="284">
        <f t="shared" si="131"/>
        <v>0.18148820326678766</v>
      </c>
      <c r="AW50" s="181">
        <f t="shared" si="132"/>
        <v>651</v>
      </c>
      <c r="AX50" s="192">
        <f t="shared" si="111"/>
        <v>0.57423216170350977</v>
      </c>
    </row>
    <row r="51" spans="1:50" s="3" customFormat="1" ht="16.5" customHeight="1" outlineLevel="1" x14ac:dyDescent="0.25">
      <c r="B51" s="52" t="s">
        <v>308</v>
      </c>
      <c r="C51" s="56" t="s">
        <v>22</v>
      </c>
      <c r="D51" s="4"/>
      <c r="E51" s="4"/>
      <c r="F51" s="4"/>
      <c r="G51" s="172"/>
      <c r="H51" s="282">
        <f t="shared" si="91"/>
        <v>0</v>
      </c>
      <c r="I51" s="4"/>
      <c r="J51" s="172"/>
      <c r="K51" s="282">
        <f t="shared" si="93"/>
        <v>0</v>
      </c>
      <c r="L51" s="4"/>
      <c r="M51" s="172"/>
      <c r="N51" s="282">
        <f t="shared" si="95"/>
        <v>0</v>
      </c>
      <c r="O51" s="4"/>
      <c r="P51" s="158"/>
      <c r="Q51" s="283"/>
      <c r="R51" s="4"/>
      <c r="S51" s="172"/>
      <c r="T51" s="282">
        <f t="shared" si="97"/>
        <v>0</v>
      </c>
      <c r="U51" s="181">
        <f t="shared" si="98"/>
        <v>0</v>
      </c>
      <c r="V51" s="192">
        <f t="shared" si="99"/>
        <v>0</v>
      </c>
      <c r="X51" s="172">
        <f t="shared" si="117"/>
        <v>85</v>
      </c>
      <c r="Y51" s="4"/>
      <c r="Z51" s="285">
        <f>'Ανάλυση για νέους πελάτες'!D26</f>
        <v>85</v>
      </c>
      <c r="AA51" s="172">
        <f t="shared" si="118"/>
        <v>85</v>
      </c>
      <c r="AB51" s="282">
        <f t="shared" si="119"/>
        <v>0</v>
      </c>
      <c r="AC51" s="172">
        <f t="shared" si="120"/>
        <v>100</v>
      </c>
      <c r="AD51" s="4">
        <f>'Ανάλυση για νέους πελάτες'!E26</f>
        <v>100</v>
      </c>
      <c r="AE51" s="4"/>
      <c r="AF51" s="172">
        <f t="shared" si="121"/>
        <v>185</v>
      </c>
      <c r="AG51" s="284">
        <f t="shared" si="122"/>
        <v>1.1764705882352942</v>
      </c>
      <c r="AH51" s="172">
        <f t="shared" si="123"/>
        <v>122</v>
      </c>
      <c r="AI51" s="4">
        <f>'Ανάλυση για νέους πελάτες'!F26</f>
        <v>122</v>
      </c>
      <c r="AJ51" s="4"/>
      <c r="AK51" s="172">
        <f t="shared" si="124"/>
        <v>307</v>
      </c>
      <c r="AL51" s="284">
        <f t="shared" si="125"/>
        <v>0.6594594594594595</v>
      </c>
      <c r="AM51" s="172">
        <f t="shared" si="126"/>
        <v>100</v>
      </c>
      <c r="AN51" s="4">
        <f>'Ανάλυση για νέους πελάτες'!G26</f>
        <v>100</v>
      </c>
      <c r="AO51" s="4"/>
      <c r="AP51" s="172">
        <f t="shared" si="127"/>
        <v>407</v>
      </c>
      <c r="AQ51" s="284">
        <f t="shared" si="128"/>
        <v>0.32573289902280128</v>
      </c>
      <c r="AR51" s="172">
        <f t="shared" si="129"/>
        <v>100</v>
      </c>
      <c r="AS51" s="4">
        <f>'Ανάλυση για νέους πελάτες'!H26</f>
        <v>100</v>
      </c>
      <c r="AT51" s="4"/>
      <c r="AU51" s="172">
        <f t="shared" si="130"/>
        <v>507</v>
      </c>
      <c r="AV51" s="284">
        <f t="shared" si="131"/>
        <v>0.24570024570024571</v>
      </c>
      <c r="AW51" s="181">
        <f t="shared" si="132"/>
        <v>507</v>
      </c>
      <c r="AX51" s="192">
        <f t="shared" si="111"/>
        <v>0.56277789056285377</v>
      </c>
    </row>
    <row r="52" spans="1:50" s="3" customFormat="1" ht="16.5" customHeight="1" outlineLevel="1" x14ac:dyDescent="0.25">
      <c r="B52" s="52"/>
      <c r="C52" s="56"/>
      <c r="D52" s="4"/>
      <c r="E52" s="4"/>
      <c r="F52" s="4"/>
      <c r="G52" s="172"/>
      <c r="H52" s="282">
        <f t="shared" si="91"/>
        <v>0</v>
      </c>
      <c r="I52" s="4"/>
      <c r="J52" s="172"/>
      <c r="K52" s="282">
        <f t="shared" si="93"/>
        <v>0</v>
      </c>
      <c r="L52" s="4"/>
      <c r="M52" s="172"/>
      <c r="N52" s="282">
        <f t="shared" si="95"/>
        <v>0</v>
      </c>
      <c r="O52" s="4"/>
      <c r="P52" s="158"/>
      <c r="Q52" s="283"/>
      <c r="R52" s="4"/>
      <c r="S52" s="172"/>
      <c r="T52" s="282">
        <f t="shared" si="97"/>
        <v>0</v>
      </c>
      <c r="U52" s="181">
        <f t="shared" si="98"/>
        <v>0</v>
      </c>
      <c r="V52" s="192">
        <f t="shared" si="99"/>
        <v>0</v>
      </c>
      <c r="X52" s="172"/>
      <c r="Y52" s="4"/>
      <c r="Z52" s="285"/>
      <c r="AA52" s="172"/>
      <c r="AB52" s="282">
        <f t="shared" si="101"/>
        <v>0</v>
      </c>
      <c r="AC52" s="172"/>
      <c r="AD52" s="4"/>
      <c r="AE52" s="4"/>
      <c r="AF52" s="172"/>
      <c r="AG52" s="284">
        <f t="shared" si="103"/>
        <v>0</v>
      </c>
      <c r="AH52" s="172"/>
      <c r="AI52" s="4"/>
      <c r="AJ52" s="4"/>
      <c r="AK52" s="172"/>
      <c r="AL52" s="284">
        <f t="shared" si="105"/>
        <v>0</v>
      </c>
      <c r="AM52" s="172"/>
      <c r="AN52" s="4"/>
      <c r="AO52" s="4"/>
      <c r="AP52" s="172"/>
      <c r="AQ52" s="284">
        <f t="shared" si="107"/>
        <v>0</v>
      </c>
      <c r="AR52" s="172"/>
      <c r="AS52" s="4"/>
      <c r="AT52" s="4"/>
      <c r="AU52" s="172"/>
      <c r="AV52" s="284">
        <f t="shared" si="109"/>
        <v>0</v>
      </c>
      <c r="AW52" s="181"/>
      <c r="AX52" s="192">
        <f t="shared" si="111"/>
        <v>0</v>
      </c>
    </row>
    <row r="53" spans="1:50" s="3" customFormat="1" ht="15" customHeight="1" outlineLevel="1" x14ac:dyDescent="0.25">
      <c r="B53" s="404" t="s">
        <v>90</v>
      </c>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row>
    <row r="54" spans="1:50" s="3" customFormat="1" ht="15" customHeight="1" outlineLevel="1" x14ac:dyDescent="0.25">
      <c r="B54" s="52" t="s">
        <v>82</v>
      </c>
      <c r="C54" s="56" t="s">
        <v>22</v>
      </c>
      <c r="D54" s="172">
        <f>SUM(D38:D52)</f>
        <v>0</v>
      </c>
      <c r="E54" s="172">
        <f>SUM(E38:E52)</f>
        <v>0</v>
      </c>
      <c r="F54" s="172">
        <f>SUM(F38:F52)</f>
        <v>0</v>
      </c>
      <c r="G54" s="172">
        <f>SUM(G38:G52)</f>
        <v>0</v>
      </c>
      <c r="H54" s="282">
        <f>IFERROR((G54-E54)/E54,0)</f>
        <v>0</v>
      </c>
      <c r="I54" s="172">
        <f>SUM(I38:I52)</f>
        <v>0</v>
      </c>
      <c r="J54" s="172">
        <f>SUM(J38:J52)</f>
        <v>0</v>
      </c>
      <c r="K54" s="282">
        <f t="shared" si="93"/>
        <v>0</v>
      </c>
      <c r="L54" s="172">
        <f>SUM(L38:L52)</f>
        <v>0</v>
      </c>
      <c r="M54" s="172">
        <f>SUM(M38:M52)</f>
        <v>0</v>
      </c>
      <c r="N54" s="282">
        <f t="shared" si="95"/>
        <v>0</v>
      </c>
      <c r="O54" s="172">
        <f>SUM(O38:O52)</f>
        <v>63</v>
      </c>
      <c r="P54" s="172"/>
      <c r="Q54" s="282"/>
      <c r="R54" s="172">
        <f>SUM(R38:R52)</f>
        <v>1184</v>
      </c>
      <c r="S54" s="172">
        <f>SUM(S38:S52)</f>
        <v>1184</v>
      </c>
      <c r="T54" s="282">
        <f>IFERROR((S54-M54)/M54,0)</f>
        <v>0</v>
      </c>
      <c r="U54" s="181">
        <f>D54+F54+I54+L54+R54</f>
        <v>1184</v>
      </c>
      <c r="V54" s="192">
        <f>IFERROR((S54/E54)^(1/4)-1,0)</f>
        <v>0</v>
      </c>
      <c r="X54" s="187">
        <f>SUM(X38:X52)</f>
        <v>2038</v>
      </c>
      <c r="Y54" s="187">
        <f>SUM(Y38:Y52)</f>
        <v>722</v>
      </c>
      <c r="Z54" s="187">
        <f>SUM(Z38:Z52)</f>
        <v>1316</v>
      </c>
      <c r="AA54" s="187">
        <f>SUM(AA38:AA52)</f>
        <v>3222</v>
      </c>
      <c r="AB54" s="282">
        <f>IFERROR((AA54-S54)/S54,0)</f>
        <v>1.7212837837837838</v>
      </c>
      <c r="AC54" s="187">
        <f>SUM(AC38:AC52)</f>
        <v>6368</v>
      </c>
      <c r="AD54" s="187">
        <f>SUM(AD38:AD52)</f>
        <v>6368</v>
      </c>
      <c r="AE54" s="187">
        <f>SUM(AE38:AE52)</f>
        <v>0</v>
      </c>
      <c r="AF54" s="187">
        <f>SUM(AF38:AF52)</f>
        <v>9590</v>
      </c>
      <c r="AG54" s="284">
        <f>IFERROR((AF54-AA54)/AA54,0)</f>
        <v>1.9764121663563003</v>
      </c>
      <c r="AH54" s="187">
        <f>SUM(AH38:AH52)</f>
        <v>5279</v>
      </c>
      <c r="AI54" s="187">
        <f>SUM(AI38:AI52)</f>
        <v>5279</v>
      </c>
      <c r="AJ54" s="187">
        <f>SUM(AJ38:AJ52)</f>
        <v>0</v>
      </c>
      <c r="AK54" s="187">
        <f>SUM(AK38:AK52)</f>
        <v>14869</v>
      </c>
      <c r="AL54" s="284">
        <f t="shared" si="105"/>
        <v>0.55046923879040666</v>
      </c>
      <c r="AM54" s="187">
        <f>SUM(AM38:AM52)</f>
        <v>3734</v>
      </c>
      <c r="AN54" s="187">
        <f>SUM(AN38:AN52)</f>
        <v>3734</v>
      </c>
      <c r="AO54" s="187">
        <f>SUM(AO38:AO52)</f>
        <v>0</v>
      </c>
      <c r="AP54" s="187">
        <f>SUM(AP38:AP52)</f>
        <v>18603</v>
      </c>
      <c r="AQ54" s="284">
        <f t="shared" si="107"/>
        <v>0.25112650480866233</v>
      </c>
      <c r="AR54" s="187">
        <f>SUM(AR38:AR52)</f>
        <v>1971</v>
      </c>
      <c r="AS54" s="187">
        <f>SUM(AS38:AS52)</f>
        <v>1971</v>
      </c>
      <c r="AT54" s="187">
        <f>SUM(AT38:AT52)</f>
        <v>0</v>
      </c>
      <c r="AU54" s="187">
        <f>SUM(AU38:AU52)</f>
        <v>20574</v>
      </c>
      <c r="AV54" s="284">
        <f t="shared" si="109"/>
        <v>0.10595065312046444</v>
      </c>
      <c r="AW54" s="187">
        <f>SUM(AW38:AW52)</f>
        <v>19390</v>
      </c>
      <c r="AX54" s="192">
        <f t="shared" si="111"/>
        <v>0.58963823388944991</v>
      </c>
    </row>
    <row r="55" spans="1:50" ht="15" customHeight="1" x14ac:dyDescent="0.25"/>
    <row r="56" spans="1:50" ht="15.75" x14ac:dyDescent="0.25">
      <c r="B56" s="352" t="s">
        <v>205</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row>
    <row r="57" spans="1:50" ht="5.45" customHeight="1" outlineLevel="1" x14ac:dyDescent="0.2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row>
    <row r="58" spans="1:50" outlineLevel="1" x14ac:dyDescent="0.25">
      <c r="B58" s="393"/>
      <c r="C58" s="385" t="s">
        <v>20</v>
      </c>
      <c r="D58" s="372" t="s">
        <v>262</v>
      </c>
      <c r="E58" s="373"/>
      <c r="F58" s="373"/>
      <c r="G58" s="373"/>
      <c r="H58" s="373"/>
      <c r="I58" s="373"/>
      <c r="J58" s="373"/>
      <c r="K58" s="373"/>
      <c r="L58" s="373"/>
      <c r="M58" s="373"/>
      <c r="N58" s="373"/>
      <c r="O58" s="373"/>
      <c r="P58" s="373"/>
      <c r="Q58" s="374"/>
      <c r="R58" s="372" t="s">
        <v>260</v>
      </c>
      <c r="S58" s="373"/>
      <c r="T58" s="374"/>
      <c r="U58" s="388" t="str">
        <f xml:space="preserve"> D59&amp;" - "&amp;R59</f>
        <v>2018 - 2022</v>
      </c>
      <c r="V58" s="398"/>
      <c r="X58" s="372" t="s">
        <v>261</v>
      </c>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outlineLevel="1" x14ac:dyDescent="0.25">
      <c r="B59" s="394"/>
      <c r="C59" s="386"/>
      <c r="D59" s="372">
        <f>$C$3-5</f>
        <v>2018</v>
      </c>
      <c r="E59" s="374"/>
      <c r="F59" s="372">
        <f>$C$3-4</f>
        <v>2019</v>
      </c>
      <c r="G59" s="373"/>
      <c r="H59" s="374"/>
      <c r="I59" s="372">
        <f>$C$3-3</f>
        <v>2020</v>
      </c>
      <c r="J59" s="373"/>
      <c r="K59" s="374"/>
      <c r="L59" s="372">
        <f>$C$3-2</f>
        <v>2021</v>
      </c>
      <c r="M59" s="373"/>
      <c r="N59" s="374"/>
      <c r="O59" s="372" t="str">
        <f>$C$3-1&amp;""&amp;" ("&amp;"Σεπτ"&amp;")"</f>
        <v>2022 (Σεπτ)</v>
      </c>
      <c r="P59" s="373"/>
      <c r="Q59" s="374"/>
      <c r="R59" s="372">
        <f>$C$3-1</f>
        <v>2022</v>
      </c>
      <c r="S59" s="373"/>
      <c r="T59" s="374"/>
      <c r="U59" s="390"/>
      <c r="V59" s="399"/>
      <c r="X59" s="372">
        <f>$C$3</f>
        <v>2023</v>
      </c>
      <c r="Y59" s="373"/>
      <c r="Z59" s="373"/>
      <c r="AA59" s="373"/>
      <c r="AB59" s="374"/>
      <c r="AC59" s="372">
        <f>$C$3+1</f>
        <v>2024</v>
      </c>
      <c r="AD59" s="373"/>
      <c r="AE59" s="373"/>
      <c r="AF59" s="373"/>
      <c r="AG59" s="374"/>
      <c r="AH59" s="372">
        <f>$C$3+2</f>
        <v>2025</v>
      </c>
      <c r="AI59" s="373"/>
      <c r="AJ59" s="373"/>
      <c r="AK59" s="373"/>
      <c r="AL59" s="374"/>
      <c r="AM59" s="372">
        <f>$C$3+3</f>
        <v>2026</v>
      </c>
      <c r="AN59" s="373"/>
      <c r="AO59" s="373"/>
      <c r="AP59" s="373"/>
      <c r="AQ59" s="374"/>
      <c r="AR59" s="372">
        <f>$C$3+4</f>
        <v>2027</v>
      </c>
      <c r="AS59" s="373"/>
      <c r="AT59" s="373"/>
      <c r="AU59" s="373"/>
      <c r="AV59" s="374"/>
      <c r="AW59" s="376" t="str">
        <f>X59&amp;" - "&amp;AR59</f>
        <v>2023 - 2027</v>
      </c>
      <c r="AX59" s="392"/>
    </row>
    <row r="60" spans="1:50" ht="45" outlineLevel="1" x14ac:dyDescent="0.25">
      <c r="B60" s="395"/>
      <c r="C60" s="387"/>
      <c r="D60" s="67" t="s">
        <v>6</v>
      </c>
      <c r="E60" s="68" t="s">
        <v>7</v>
      </c>
      <c r="F60" s="67" t="s">
        <v>6</v>
      </c>
      <c r="G60" s="9" t="s">
        <v>7</v>
      </c>
      <c r="H60" s="68" t="s">
        <v>81</v>
      </c>
      <c r="I60" s="67" t="s">
        <v>6</v>
      </c>
      <c r="J60" s="9" t="s">
        <v>7</v>
      </c>
      <c r="K60" s="68" t="s">
        <v>81</v>
      </c>
      <c r="L60" s="67" t="s">
        <v>6</v>
      </c>
      <c r="M60" s="9" t="s">
        <v>7</v>
      </c>
      <c r="N60" s="68" t="s">
        <v>81</v>
      </c>
      <c r="O60" s="67" t="s">
        <v>6</v>
      </c>
      <c r="P60" s="9" t="s">
        <v>7</v>
      </c>
      <c r="Q60" s="68" t="s">
        <v>81</v>
      </c>
      <c r="R60" s="67" t="s">
        <v>6</v>
      </c>
      <c r="S60" s="9" t="s">
        <v>7</v>
      </c>
      <c r="T60" s="68" t="s">
        <v>81</v>
      </c>
      <c r="U60" s="67" t="s">
        <v>17</v>
      </c>
      <c r="V60" s="132" t="s">
        <v>83</v>
      </c>
      <c r="X60" s="67" t="s">
        <v>6</v>
      </c>
      <c r="Y60" s="117" t="s">
        <v>88</v>
      </c>
      <c r="Z60" s="117" t="s">
        <v>89</v>
      </c>
      <c r="AA60" s="9" t="s">
        <v>7</v>
      </c>
      <c r="AB60" s="68" t="s">
        <v>81</v>
      </c>
      <c r="AC60" s="67" t="s">
        <v>6</v>
      </c>
      <c r="AD60" s="117" t="s">
        <v>88</v>
      </c>
      <c r="AE60" s="117" t="s">
        <v>89</v>
      </c>
      <c r="AF60" s="9" t="s">
        <v>7</v>
      </c>
      <c r="AG60" s="68" t="s">
        <v>81</v>
      </c>
      <c r="AH60" s="67" t="s">
        <v>6</v>
      </c>
      <c r="AI60" s="117" t="s">
        <v>88</v>
      </c>
      <c r="AJ60" s="117" t="s">
        <v>89</v>
      </c>
      <c r="AK60" s="9" t="s">
        <v>7</v>
      </c>
      <c r="AL60" s="68" t="s">
        <v>81</v>
      </c>
      <c r="AM60" s="67" t="s">
        <v>6</v>
      </c>
      <c r="AN60" s="117" t="s">
        <v>88</v>
      </c>
      <c r="AO60" s="117" t="s">
        <v>89</v>
      </c>
      <c r="AP60" s="9" t="s">
        <v>7</v>
      </c>
      <c r="AQ60" s="68" t="s">
        <v>81</v>
      </c>
      <c r="AR60" s="67" t="s">
        <v>6</v>
      </c>
      <c r="AS60" s="117" t="s">
        <v>88</v>
      </c>
      <c r="AT60" s="117" t="s">
        <v>89</v>
      </c>
      <c r="AU60" s="9" t="s">
        <v>7</v>
      </c>
      <c r="AV60" s="68" t="s">
        <v>81</v>
      </c>
      <c r="AW60" s="67" t="s">
        <v>17</v>
      </c>
      <c r="AX60" s="132" t="s">
        <v>83</v>
      </c>
    </row>
    <row r="61" spans="1:50" s="3" customFormat="1" outlineLevel="1" x14ac:dyDescent="0.25">
      <c r="B61" s="52" t="s">
        <v>283</v>
      </c>
      <c r="C61" s="56" t="s">
        <v>22</v>
      </c>
      <c r="D61" s="4"/>
      <c r="E61" s="4"/>
      <c r="F61" s="4"/>
      <c r="G61" s="172">
        <f t="shared" ref="G61:G69" si="133">E61+F61</f>
        <v>0</v>
      </c>
      <c r="H61" s="282">
        <f t="shared" ref="H61:H75" si="134">IFERROR((G61-E61)/E61,0)</f>
        <v>0</v>
      </c>
      <c r="I61" s="4"/>
      <c r="J61" s="172">
        <f t="shared" ref="J61:J69" si="135">G61+I61</f>
        <v>0</v>
      </c>
      <c r="K61" s="282">
        <f t="shared" ref="K61:K75" si="136">IFERROR((J61-G61)/G61,0)</f>
        <v>0</v>
      </c>
      <c r="L61" s="4"/>
      <c r="M61" s="172">
        <f t="shared" ref="M61:M69" si="137">J61+L61</f>
        <v>0</v>
      </c>
      <c r="N61" s="282">
        <f t="shared" ref="N61:N75" si="138">IFERROR((M61-J61)/J61,0)</f>
        <v>0</v>
      </c>
      <c r="O61" s="4">
        <f>'Ενεργοί πελάτες'!O62</f>
        <v>26</v>
      </c>
      <c r="P61" s="158"/>
      <c r="Q61" s="283"/>
      <c r="R61" s="4">
        <f>'Ενεργοί πελάτες'!R62</f>
        <v>26</v>
      </c>
      <c r="S61" s="172">
        <f t="shared" ref="S61:S69" si="139">M61+R61</f>
        <v>26</v>
      </c>
      <c r="T61" s="282">
        <f t="shared" ref="T61:T75" si="140">IFERROR((S61-M61)/M61,0)</f>
        <v>0</v>
      </c>
      <c r="U61" s="181">
        <f t="shared" ref="U61:U75" si="141">D61+F61+I61+L61+R61</f>
        <v>26</v>
      </c>
      <c r="V61" s="192">
        <f t="shared" ref="V61:V75" si="142">IFERROR((S61/E61)^(1/4)-1,0)</f>
        <v>0</v>
      </c>
      <c r="X61" s="172">
        <f>Y61+Z61</f>
        <v>122</v>
      </c>
      <c r="Y61" s="4">
        <f>Y38</f>
        <v>122</v>
      </c>
      <c r="Z61" s="4">
        <f>Z38</f>
        <v>0</v>
      </c>
      <c r="AA61" s="172">
        <f t="shared" ref="AA61:AA69" si="143">S61+X61</f>
        <v>148</v>
      </c>
      <c r="AB61" s="282">
        <f t="shared" ref="AB61:AB75" si="144">IFERROR((AA61-S61)/S61,0)</f>
        <v>4.6923076923076925</v>
      </c>
      <c r="AC61" s="172">
        <f>AD61+AE61</f>
        <v>185</v>
      </c>
      <c r="AD61" s="4">
        <f>AD38</f>
        <v>185</v>
      </c>
      <c r="AE61" s="4">
        <f>AE38</f>
        <v>0</v>
      </c>
      <c r="AF61" s="172">
        <f t="shared" ref="AF61:AF69" si="145">AA61+AC61</f>
        <v>333</v>
      </c>
      <c r="AG61" s="284">
        <f t="shared" ref="AG61:AG75" si="146">IFERROR((AF61-AA61)/AA61,0)</f>
        <v>1.25</v>
      </c>
      <c r="AH61" s="172">
        <f>AI61+AJ61</f>
        <v>105</v>
      </c>
      <c r="AI61" s="4">
        <f>AI38</f>
        <v>105</v>
      </c>
      <c r="AJ61" s="4">
        <f>AJ38</f>
        <v>0</v>
      </c>
      <c r="AK61" s="172">
        <f t="shared" ref="AK61:AK69" si="147">AF61+AH61</f>
        <v>438</v>
      </c>
      <c r="AL61" s="284">
        <f t="shared" ref="AL61:AL75" si="148">IFERROR((AK61-AF61)/AF61,0)</f>
        <v>0.31531531531531531</v>
      </c>
      <c r="AM61" s="172">
        <f>AN61+AO61</f>
        <v>30</v>
      </c>
      <c r="AN61" s="4">
        <f>AN38</f>
        <v>30</v>
      </c>
      <c r="AO61" s="4">
        <f>AO38</f>
        <v>0</v>
      </c>
      <c r="AP61" s="172">
        <f t="shared" ref="AP61:AP69" si="149">AK61+AM61</f>
        <v>468</v>
      </c>
      <c r="AQ61" s="284">
        <f t="shared" ref="AQ61:AQ75" si="150">IFERROR((AP61-AK61)/AK61,0)</f>
        <v>6.8493150684931503E-2</v>
      </c>
      <c r="AR61" s="172">
        <f>AS61+AT61</f>
        <v>16</v>
      </c>
      <c r="AS61" s="4">
        <f>AS38</f>
        <v>16</v>
      </c>
      <c r="AT61" s="4">
        <f>AT38</f>
        <v>0</v>
      </c>
      <c r="AU61" s="172">
        <f t="shared" ref="AU61:AU69" si="151">AP61+AR61</f>
        <v>484</v>
      </c>
      <c r="AV61" s="284">
        <f t="shared" ref="AV61:AV75" si="152">IFERROR((AU61-AP61)/AP61,0)</f>
        <v>3.4188034188034191E-2</v>
      </c>
      <c r="AW61" s="181">
        <f t="shared" ref="AW61:AW69" si="153">X61+AC61+AH61+AM61+AR61</f>
        <v>458</v>
      </c>
      <c r="AX61" s="192">
        <f t="shared" ref="AX61:AX75" si="154">IFERROR((AU61/AA61)^(1/4)-1,0)</f>
        <v>0.34476349606870649</v>
      </c>
    </row>
    <row r="62" spans="1:50" s="290" customFormat="1" outlineLevel="1" x14ac:dyDescent="0.25">
      <c r="A62" s="3"/>
      <c r="B62" s="52" t="s">
        <v>284</v>
      </c>
      <c r="C62" s="56" t="s">
        <v>22</v>
      </c>
      <c r="D62" s="285"/>
      <c r="E62" s="285"/>
      <c r="F62" s="285"/>
      <c r="G62" s="172">
        <f t="shared" si="133"/>
        <v>0</v>
      </c>
      <c r="H62" s="282">
        <f t="shared" si="134"/>
        <v>0</v>
      </c>
      <c r="I62" s="285"/>
      <c r="J62" s="172">
        <f t="shared" si="135"/>
        <v>0</v>
      </c>
      <c r="K62" s="282">
        <f t="shared" si="136"/>
        <v>0</v>
      </c>
      <c r="L62" s="285"/>
      <c r="M62" s="172">
        <f t="shared" si="137"/>
        <v>0</v>
      </c>
      <c r="N62" s="282">
        <f t="shared" si="138"/>
        <v>0</v>
      </c>
      <c r="O62" s="4">
        <f>'Ενεργοί πελάτες'!O63</f>
        <v>0</v>
      </c>
      <c r="P62" s="287"/>
      <c r="Q62" s="288"/>
      <c r="R62" s="4">
        <f>'Ενεργοί πελάτες'!R63</f>
        <v>0</v>
      </c>
      <c r="S62" s="172">
        <f t="shared" si="139"/>
        <v>0</v>
      </c>
      <c r="T62" s="286">
        <f t="shared" si="140"/>
        <v>0</v>
      </c>
      <c r="U62" s="181">
        <f t="shared" si="141"/>
        <v>0</v>
      </c>
      <c r="V62" s="289">
        <f t="shared" si="142"/>
        <v>0</v>
      </c>
      <c r="W62" s="3"/>
      <c r="X62" s="172">
        <f t="shared" ref="X62:X69" si="155">Y62+Z62</f>
        <v>179</v>
      </c>
      <c r="Y62" s="4">
        <f t="shared" ref="Y62:Z62" si="156">Y39</f>
        <v>179</v>
      </c>
      <c r="Z62" s="4">
        <f t="shared" si="156"/>
        <v>0</v>
      </c>
      <c r="AA62" s="172">
        <f t="shared" si="143"/>
        <v>179</v>
      </c>
      <c r="AB62" s="282">
        <f t="shared" si="144"/>
        <v>0</v>
      </c>
      <c r="AC62" s="172">
        <f t="shared" ref="AC62:AC69" si="157">AD62+AE62</f>
        <v>260</v>
      </c>
      <c r="AD62" s="4">
        <f t="shared" ref="AD62:AE62" si="158">AD39</f>
        <v>260</v>
      </c>
      <c r="AE62" s="4">
        <f t="shared" si="158"/>
        <v>0</v>
      </c>
      <c r="AF62" s="172">
        <f t="shared" si="145"/>
        <v>439</v>
      </c>
      <c r="AG62" s="286">
        <f t="shared" si="146"/>
        <v>1.4525139664804469</v>
      </c>
      <c r="AH62" s="172">
        <f t="shared" ref="AH62:AH69" si="159">AI62+AJ62</f>
        <v>254</v>
      </c>
      <c r="AI62" s="4">
        <f t="shared" ref="AI62:AJ62" si="160">AI39</f>
        <v>254</v>
      </c>
      <c r="AJ62" s="4">
        <f t="shared" si="160"/>
        <v>0</v>
      </c>
      <c r="AK62" s="204">
        <f t="shared" si="147"/>
        <v>693</v>
      </c>
      <c r="AL62" s="286">
        <f t="shared" si="148"/>
        <v>0.57858769931662868</v>
      </c>
      <c r="AM62" s="172">
        <f t="shared" ref="AM62:AM69" si="161">AN62+AO62</f>
        <v>68</v>
      </c>
      <c r="AN62" s="4">
        <f t="shared" ref="AN62:AO62" si="162">AN39</f>
        <v>68</v>
      </c>
      <c r="AO62" s="4">
        <f t="shared" si="162"/>
        <v>0</v>
      </c>
      <c r="AP62" s="172">
        <f t="shared" si="149"/>
        <v>761</v>
      </c>
      <c r="AQ62" s="286">
        <f t="shared" si="150"/>
        <v>9.8124098124098127E-2</v>
      </c>
      <c r="AR62" s="172">
        <f t="shared" ref="AR62:AR69" si="163">AS62+AT62</f>
        <v>14</v>
      </c>
      <c r="AS62" s="4">
        <f t="shared" ref="AS62:AT62" si="164">AS39</f>
        <v>14</v>
      </c>
      <c r="AT62" s="4">
        <f t="shared" si="164"/>
        <v>0</v>
      </c>
      <c r="AU62" s="172">
        <f t="shared" si="151"/>
        <v>775</v>
      </c>
      <c r="AV62" s="286">
        <f t="shared" si="152"/>
        <v>1.8396846254927726E-2</v>
      </c>
      <c r="AW62" s="181">
        <f t="shared" si="153"/>
        <v>775</v>
      </c>
      <c r="AX62" s="289">
        <f t="shared" si="154"/>
        <v>0.4424878635456142</v>
      </c>
    </row>
    <row r="63" spans="1:50" s="290" customFormat="1" outlineLevel="1" x14ac:dyDescent="0.25">
      <c r="A63" s="3"/>
      <c r="B63" s="52" t="s">
        <v>285</v>
      </c>
      <c r="C63" s="56" t="s">
        <v>22</v>
      </c>
      <c r="D63" s="285"/>
      <c r="E63" s="285"/>
      <c r="F63" s="285"/>
      <c r="G63" s="172">
        <f t="shared" si="133"/>
        <v>0</v>
      </c>
      <c r="H63" s="282">
        <f t="shared" si="134"/>
        <v>0</v>
      </c>
      <c r="I63" s="285"/>
      <c r="J63" s="172">
        <f t="shared" si="135"/>
        <v>0</v>
      </c>
      <c r="K63" s="282">
        <f t="shared" si="136"/>
        <v>0</v>
      </c>
      <c r="L63" s="285"/>
      <c r="M63" s="172">
        <f t="shared" si="137"/>
        <v>0</v>
      </c>
      <c r="N63" s="282">
        <f t="shared" si="138"/>
        <v>0</v>
      </c>
      <c r="O63" s="4">
        <f>'Ενεργοί πελάτες'!O64</f>
        <v>0</v>
      </c>
      <c r="P63" s="287"/>
      <c r="Q63" s="288"/>
      <c r="R63" s="4">
        <f>'Ενεργοί πελάτες'!R64</f>
        <v>0</v>
      </c>
      <c r="S63" s="172">
        <f t="shared" si="139"/>
        <v>0</v>
      </c>
      <c r="T63" s="286">
        <f t="shared" si="140"/>
        <v>0</v>
      </c>
      <c r="U63" s="181">
        <f t="shared" si="141"/>
        <v>0</v>
      </c>
      <c r="V63" s="289">
        <f t="shared" si="142"/>
        <v>0</v>
      </c>
      <c r="W63" s="3"/>
      <c r="X63" s="172">
        <f t="shared" si="155"/>
        <v>168</v>
      </c>
      <c r="Y63" s="4">
        <f t="shared" ref="Y63:Z63" si="165">Y40</f>
        <v>168</v>
      </c>
      <c r="Z63" s="4">
        <f t="shared" si="165"/>
        <v>0</v>
      </c>
      <c r="AA63" s="172">
        <f t="shared" si="143"/>
        <v>168</v>
      </c>
      <c r="AB63" s="282">
        <f t="shared" si="144"/>
        <v>0</v>
      </c>
      <c r="AC63" s="172">
        <f t="shared" si="157"/>
        <v>255</v>
      </c>
      <c r="AD63" s="4">
        <f t="shared" ref="AD63:AE63" si="166">AD40</f>
        <v>255</v>
      </c>
      <c r="AE63" s="4">
        <f t="shared" si="166"/>
        <v>0</v>
      </c>
      <c r="AF63" s="172">
        <f t="shared" si="145"/>
        <v>423</v>
      </c>
      <c r="AG63" s="286">
        <f t="shared" si="146"/>
        <v>1.5178571428571428</v>
      </c>
      <c r="AH63" s="172">
        <f t="shared" si="159"/>
        <v>206</v>
      </c>
      <c r="AI63" s="4">
        <f t="shared" ref="AI63:AJ63" si="167">AI40</f>
        <v>206</v>
      </c>
      <c r="AJ63" s="4">
        <f t="shared" si="167"/>
        <v>0</v>
      </c>
      <c r="AK63" s="204">
        <f t="shared" si="147"/>
        <v>629</v>
      </c>
      <c r="AL63" s="286">
        <f t="shared" si="148"/>
        <v>0.48699763593380613</v>
      </c>
      <c r="AM63" s="172">
        <f t="shared" si="161"/>
        <v>64</v>
      </c>
      <c r="AN63" s="4">
        <f t="shared" ref="AN63:AO63" si="168">AN40</f>
        <v>64</v>
      </c>
      <c r="AO63" s="4">
        <f t="shared" si="168"/>
        <v>0</v>
      </c>
      <c r="AP63" s="172">
        <f t="shared" si="149"/>
        <v>693</v>
      </c>
      <c r="AQ63" s="286">
        <f t="shared" si="150"/>
        <v>0.10174880763116058</v>
      </c>
      <c r="AR63" s="172">
        <f t="shared" si="163"/>
        <v>32</v>
      </c>
      <c r="AS63" s="4">
        <f t="shared" ref="AS63:AT63" si="169">AS40</f>
        <v>32</v>
      </c>
      <c r="AT63" s="4">
        <f t="shared" si="169"/>
        <v>0</v>
      </c>
      <c r="AU63" s="172">
        <f t="shared" si="151"/>
        <v>725</v>
      </c>
      <c r="AV63" s="286">
        <f t="shared" si="152"/>
        <v>4.6176046176046176E-2</v>
      </c>
      <c r="AW63" s="181">
        <f t="shared" si="153"/>
        <v>725</v>
      </c>
      <c r="AX63" s="289">
        <f t="shared" si="154"/>
        <v>0.44130927444356693</v>
      </c>
    </row>
    <row r="64" spans="1:50" s="3" customFormat="1" outlineLevel="1" x14ac:dyDescent="0.25">
      <c r="B64" s="52" t="s">
        <v>286</v>
      </c>
      <c r="C64" s="56" t="s">
        <v>22</v>
      </c>
      <c r="D64" s="4"/>
      <c r="E64" s="4"/>
      <c r="F64" s="4"/>
      <c r="G64" s="172">
        <f t="shared" si="133"/>
        <v>0</v>
      </c>
      <c r="H64" s="282">
        <f t="shared" si="134"/>
        <v>0</v>
      </c>
      <c r="I64" s="4"/>
      <c r="J64" s="172">
        <f t="shared" si="135"/>
        <v>0</v>
      </c>
      <c r="K64" s="282">
        <f t="shared" si="136"/>
        <v>0</v>
      </c>
      <c r="L64" s="4"/>
      <c r="M64" s="172">
        <f t="shared" si="137"/>
        <v>0</v>
      </c>
      <c r="N64" s="282">
        <f t="shared" si="138"/>
        <v>0</v>
      </c>
      <c r="O64" s="4">
        <f>'Ενεργοί πελάτες'!O65</f>
        <v>0</v>
      </c>
      <c r="P64" s="158"/>
      <c r="Q64" s="283"/>
      <c r="R64" s="4">
        <f>'Ενεργοί πελάτες'!R65</f>
        <v>0</v>
      </c>
      <c r="S64" s="172">
        <f t="shared" si="139"/>
        <v>0</v>
      </c>
      <c r="T64" s="282">
        <f t="shared" si="140"/>
        <v>0</v>
      </c>
      <c r="U64" s="181">
        <f t="shared" si="141"/>
        <v>0</v>
      </c>
      <c r="V64" s="192">
        <f t="shared" si="142"/>
        <v>0</v>
      </c>
      <c r="X64" s="172">
        <f t="shared" si="155"/>
        <v>235</v>
      </c>
      <c r="Y64" s="4">
        <f t="shared" ref="Y64:Z64" si="170">Y41</f>
        <v>0</v>
      </c>
      <c r="Z64" s="4">
        <f t="shared" si="170"/>
        <v>235</v>
      </c>
      <c r="AA64" s="172">
        <f t="shared" si="143"/>
        <v>235</v>
      </c>
      <c r="AB64" s="282">
        <f t="shared" si="144"/>
        <v>0</v>
      </c>
      <c r="AC64" s="172">
        <f t="shared" si="157"/>
        <v>1070</v>
      </c>
      <c r="AD64" s="4">
        <f t="shared" ref="AD64:AE64" si="171">AD41</f>
        <v>1070</v>
      </c>
      <c r="AE64" s="4">
        <f t="shared" si="171"/>
        <v>0</v>
      </c>
      <c r="AF64" s="172">
        <f t="shared" si="145"/>
        <v>1305</v>
      </c>
      <c r="AG64" s="284">
        <f t="shared" si="146"/>
        <v>4.5531914893617023</v>
      </c>
      <c r="AH64" s="172">
        <f t="shared" si="159"/>
        <v>810</v>
      </c>
      <c r="AI64" s="4">
        <f t="shared" ref="AI64:AJ64" si="172">AI41</f>
        <v>810</v>
      </c>
      <c r="AJ64" s="4">
        <f t="shared" si="172"/>
        <v>0</v>
      </c>
      <c r="AK64" s="172">
        <f t="shared" si="147"/>
        <v>2115</v>
      </c>
      <c r="AL64" s="284">
        <f t="shared" si="148"/>
        <v>0.62068965517241381</v>
      </c>
      <c r="AM64" s="172">
        <f t="shared" si="161"/>
        <v>277</v>
      </c>
      <c r="AN64" s="4">
        <f t="shared" ref="AN64:AO64" si="173">AN41</f>
        <v>277</v>
      </c>
      <c r="AO64" s="4">
        <f t="shared" si="173"/>
        <v>0</v>
      </c>
      <c r="AP64" s="172">
        <f t="shared" si="149"/>
        <v>2392</v>
      </c>
      <c r="AQ64" s="284">
        <f t="shared" si="150"/>
        <v>0.1309692671394799</v>
      </c>
      <c r="AR64" s="172">
        <f t="shared" si="163"/>
        <v>138</v>
      </c>
      <c r="AS64" s="4">
        <f t="shared" ref="AS64:AT64" si="174">AS41</f>
        <v>138</v>
      </c>
      <c r="AT64" s="4">
        <f t="shared" si="174"/>
        <v>0</v>
      </c>
      <c r="AU64" s="172">
        <f t="shared" si="151"/>
        <v>2530</v>
      </c>
      <c r="AV64" s="284">
        <f t="shared" si="152"/>
        <v>5.7692307692307696E-2</v>
      </c>
      <c r="AW64" s="181">
        <f t="shared" si="153"/>
        <v>2530</v>
      </c>
      <c r="AX64" s="192">
        <f t="shared" si="154"/>
        <v>0.81139500042631907</v>
      </c>
    </row>
    <row r="65" spans="1:50" s="290" customFormat="1" outlineLevel="1" x14ac:dyDescent="0.25">
      <c r="A65" s="3"/>
      <c r="B65" s="52" t="s">
        <v>287</v>
      </c>
      <c r="C65" s="56" t="s">
        <v>22</v>
      </c>
      <c r="D65" s="285"/>
      <c r="E65" s="285"/>
      <c r="F65" s="285"/>
      <c r="G65" s="172">
        <f t="shared" si="133"/>
        <v>0</v>
      </c>
      <c r="H65" s="282">
        <f t="shared" si="134"/>
        <v>0</v>
      </c>
      <c r="I65" s="285"/>
      <c r="J65" s="172">
        <f t="shared" si="135"/>
        <v>0</v>
      </c>
      <c r="K65" s="282">
        <f t="shared" si="136"/>
        <v>0</v>
      </c>
      <c r="L65" s="285"/>
      <c r="M65" s="172">
        <f t="shared" si="137"/>
        <v>0</v>
      </c>
      <c r="N65" s="282">
        <f t="shared" si="138"/>
        <v>0</v>
      </c>
      <c r="O65" s="4">
        <f>'Ενεργοί πελάτες'!O66</f>
        <v>0</v>
      </c>
      <c r="P65" s="287"/>
      <c r="Q65" s="288"/>
      <c r="R65" s="4">
        <f>'Ενεργοί πελάτες'!R66</f>
        <v>0</v>
      </c>
      <c r="S65" s="172">
        <f t="shared" si="139"/>
        <v>0</v>
      </c>
      <c r="T65" s="286">
        <f t="shared" si="140"/>
        <v>0</v>
      </c>
      <c r="U65" s="181">
        <f t="shared" si="141"/>
        <v>0</v>
      </c>
      <c r="V65" s="289">
        <f t="shared" si="142"/>
        <v>0</v>
      </c>
      <c r="W65" s="3"/>
      <c r="X65" s="172">
        <f t="shared" si="155"/>
        <v>0</v>
      </c>
      <c r="Y65" s="4">
        <f t="shared" ref="Y65:Z65" si="175">Y42</f>
        <v>0</v>
      </c>
      <c r="Z65" s="4">
        <f t="shared" si="175"/>
        <v>0</v>
      </c>
      <c r="AA65" s="172">
        <f t="shared" si="143"/>
        <v>0</v>
      </c>
      <c r="AB65" s="282">
        <f t="shared" si="144"/>
        <v>0</v>
      </c>
      <c r="AC65" s="172">
        <f t="shared" si="157"/>
        <v>800</v>
      </c>
      <c r="AD65" s="4">
        <f t="shared" ref="AD65:AE65" si="176">AD42</f>
        <v>800</v>
      </c>
      <c r="AE65" s="4">
        <f t="shared" si="176"/>
        <v>0</v>
      </c>
      <c r="AF65" s="172">
        <f t="shared" si="145"/>
        <v>800</v>
      </c>
      <c r="AG65" s="286">
        <f t="shared" si="146"/>
        <v>0</v>
      </c>
      <c r="AH65" s="172">
        <f t="shared" si="159"/>
        <v>748</v>
      </c>
      <c r="AI65" s="4">
        <f t="shared" ref="AI65:AJ65" si="177">AI42</f>
        <v>748</v>
      </c>
      <c r="AJ65" s="4">
        <f t="shared" si="177"/>
        <v>0</v>
      </c>
      <c r="AK65" s="204">
        <f t="shared" si="147"/>
        <v>1548</v>
      </c>
      <c r="AL65" s="286">
        <f t="shared" si="148"/>
        <v>0.93500000000000005</v>
      </c>
      <c r="AM65" s="172">
        <f t="shared" si="161"/>
        <v>686</v>
      </c>
      <c r="AN65" s="4">
        <f t="shared" ref="AN65:AO65" si="178">AN42</f>
        <v>686</v>
      </c>
      <c r="AO65" s="4">
        <f t="shared" si="178"/>
        <v>0</v>
      </c>
      <c r="AP65" s="172">
        <f t="shared" si="149"/>
        <v>2234</v>
      </c>
      <c r="AQ65" s="286">
        <f t="shared" si="150"/>
        <v>0.44315245478036175</v>
      </c>
      <c r="AR65" s="172">
        <f t="shared" si="163"/>
        <v>344</v>
      </c>
      <c r="AS65" s="4">
        <f t="shared" ref="AS65:AT65" si="179">AS42</f>
        <v>344</v>
      </c>
      <c r="AT65" s="4">
        <f t="shared" si="179"/>
        <v>0</v>
      </c>
      <c r="AU65" s="172">
        <f t="shared" si="151"/>
        <v>2578</v>
      </c>
      <c r="AV65" s="286">
        <f t="shared" si="152"/>
        <v>0.15398388540734109</v>
      </c>
      <c r="AW65" s="181">
        <f t="shared" si="153"/>
        <v>2578</v>
      </c>
      <c r="AX65" s="289">
        <f t="shared" si="154"/>
        <v>0</v>
      </c>
    </row>
    <row r="66" spans="1:50" s="3" customFormat="1" outlineLevel="1" x14ac:dyDescent="0.25">
      <c r="B66" s="52" t="s">
        <v>288</v>
      </c>
      <c r="C66" s="56" t="s">
        <v>22</v>
      </c>
      <c r="D66" s="4"/>
      <c r="E66" s="4"/>
      <c r="F66" s="4"/>
      <c r="G66" s="172">
        <f t="shared" si="133"/>
        <v>0</v>
      </c>
      <c r="H66" s="282">
        <f t="shared" si="134"/>
        <v>0</v>
      </c>
      <c r="I66" s="4"/>
      <c r="J66" s="172">
        <f t="shared" si="135"/>
        <v>0</v>
      </c>
      <c r="K66" s="282">
        <f t="shared" si="136"/>
        <v>0</v>
      </c>
      <c r="L66" s="4"/>
      <c r="M66" s="172">
        <f t="shared" si="137"/>
        <v>0</v>
      </c>
      <c r="N66" s="282">
        <f t="shared" si="138"/>
        <v>0</v>
      </c>
      <c r="O66" s="4">
        <f>'Ενεργοί πελάτες'!O67</f>
        <v>0</v>
      </c>
      <c r="P66" s="158"/>
      <c r="Q66" s="283"/>
      <c r="R66" s="4">
        <f>'Ενεργοί πελάτες'!R67</f>
        <v>0</v>
      </c>
      <c r="S66" s="172">
        <f t="shared" si="139"/>
        <v>0</v>
      </c>
      <c r="T66" s="282">
        <f t="shared" si="140"/>
        <v>0</v>
      </c>
      <c r="U66" s="181">
        <f t="shared" si="141"/>
        <v>0</v>
      </c>
      <c r="V66" s="192">
        <f t="shared" si="142"/>
        <v>0</v>
      </c>
      <c r="X66" s="172">
        <f t="shared" si="155"/>
        <v>195</v>
      </c>
      <c r="Y66" s="4">
        <f t="shared" ref="Y66:Z66" si="180">Y43</f>
        <v>0</v>
      </c>
      <c r="Z66" s="4">
        <f t="shared" si="180"/>
        <v>195</v>
      </c>
      <c r="AA66" s="172">
        <f t="shared" si="143"/>
        <v>195</v>
      </c>
      <c r="AB66" s="282">
        <f t="shared" si="144"/>
        <v>0</v>
      </c>
      <c r="AC66" s="172">
        <f t="shared" si="157"/>
        <v>360</v>
      </c>
      <c r="AD66" s="4">
        <f t="shared" ref="AD66:AE66" si="181">AD43</f>
        <v>360</v>
      </c>
      <c r="AE66" s="4">
        <f t="shared" si="181"/>
        <v>0</v>
      </c>
      <c r="AF66" s="172">
        <f t="shared" si="145"/>
        <v>555</v>
      </c>
      <c r="AG66" s="284">
        <f t="shared" si="146"/>
        <v>1.8461538461538463</v>
      </c>
      <c r="AH66" s="172">
        <f t="shared" si="159"/>
        <v>218</v>
      </c>
      <c r="AI66" s="4">
        <f t="shared" ref="AI66:AJ66" si="182">AI43</f>
        <v>218</v>
      </c>
      <c r="AJ66" s="4">
        <f t="shared" si="182"/>
        <v>0</v>
      </c>
      <c r="AK66" s="172">
        <f t="shared" si="147"/>
        <v>773</v>
      </c>
      <c r="AL66" s="284">
        <f t="shared" si="148"/>
        <v>0.39279279279279278</v>
      </c>
      <c r="AM66" s="172">
        <f t="shared" si="161"/>
        <v>50</v>
      </c>
      <c r="AN66" s="4">
        <f t="shared" ref="AN66:AO66" si="183">AN43</f>
        <v>50</v>
      </c>
      <c r="AO66" s="4">
        <f t="shared" si="183"/>
        <v>0</v>
      </c>
      <c r="AP66" s="172">
        <f t="shared" si="149"/>
        <v>823</v>
      </c>
      <c r="AQ66" s="284">
        <f t="shared" si="150"/>
        <v>6.4683053040103494E-2</v>
      </c>
      <c r="AR66" s="172">
        <f t="shared" si="163"/>
        <v>25</v>
      </c>
      <c r="AS66" s="4">
        <f t="shared" ref="AS66:AT66" si="184">AS43</f>
        <v>25</v>
      </c>
      <c r="AT66" s="4">
        <f t="shared" si="184"/>
        <v>0</v>
      </c>
      <c r="AU66" s="172">
        <f t="shared" si="151"/>
        <v>848</v>
      </c>
      <c r="AV66" s="284">
        <f t="shared" si="152"/>
        <v>3.0376670716889428E-2</v>
      </c>
      <c r="AW66" s="181">
        <f t="shared" si="153"/>
        <v>848</v>
      </c>
      <c r="AX66" s="192">
        <f t="shared" si="154"/>
        <v>0.44407686448545358</v>
      </c>
    </row>
    <row r="67" spans="1:50" s="3" customFormat="1" ht="16.5" customHeight="1" outlineLevel="1" x14ac:dyDescent="0.25">
      <c r="B67" s="52" t="s">
        <v>289</v>
      </c>
      <c r="C67" s="56" t="s">
        <v>22</v>
      </c>
      <c r="D67" s="4"/>
      <c r="E67" s="4"/>
      <c r="F67" s="4"/>
      <c r="G67" s="172">
        <f t="shared" si="133"/>
        <v>0</v>
      </c>
      <c r="H67" s="282">
        <f t="shared" si="134"/>
        <v>0</v>
      </c>
      <c r="I67" s="4"/>
      <c r="J67" s="172">
        <f t="shared" si="135"/>
        <v>0</v>
      </c>
      <c r="K67" s="282">
        <f t="shared" si="136"/>
        <v>0</v>
      </c>
      <c r="L67" s="4"/>
      <c r="M67" s="172">
        <f t="shared" si="137"/>
        <v>0</v>
      </c>
      <c r="N67" s="282">
        <f t="shared" si="138"/>
        <v>0</v>
      </c>
      <c r="O67" s="4">
        <f>'Ενεργοί πελάτες'!O68</f>
        <v>0</v>
      </c>
      <c r="P67" s="158"/>
      <c r="Q67" s="283"/>
      <c r="R67" s="4">
        <f>'Ενεργοί πελάτες'!R68</f>
        <v>0</v>
      </c>
      <c r="S67" s="172">
        <f t="shared" si="139"/>
        <v>0</v>
      </c>
      <c r="T67" s="282">
        <f t="shared" si="140"/>
        <v>0</v>
      </c>
      <c r="U67" s="181">
        <f t="shared" si="141"/>
        <v>0</v>
      </c>
      <c r="V67" s="192">
        <f t="shared" si="142"/>
        <v>0</v>
      </c>
      <c r="X67" s="172">
        <f t="shared" si="155"/>
        <v>274</v>
      </c>
      <c r="Y67" s="4">
        <f t="shared" ref="Y67:Z67" si="185">Y44</f>
        <v>0</v>
      </c>
      <c r="Z67" s="4">
        <f t="shared" si="185"/>
        <v>274</v>
      </c>
      <c r="AA67" s="172">
        <f t="shared" si="143"/>
        <v>274</v>
      </c>
      <c r="AB67" s="282">
        <f t="shared" si="144"/>
        <v>0</v>
      </c>
      <c r="AC67" s="172">
        <f t="shared" si="157"/>
        <v>1449</v>
      </c>
      <c r="AD67" s="4">
        <f t="shared" ref="AD67:AE67" si="186">AD44</f>
        <v>1449</v>
      </c>
      <c r="AE67" s="4">
        <f t="shared" si="186"/>
        <v>0</v>
      </c>
      <c r="AF67" s="172">
        <f t="shared" si="145"/>
        <v>1723</v>
      </c>
      <c r="AG67" s="284">
        <f t="shared" si="146"/>
        <v>5.288321167883212</v>
      </c>
      <c r="AH67" s="172">
        <f t="shared" si="159"/>
        <v>1050</v>
      </c>
      <c r="AI67" s="4">
        <f t="shared" ref="AI67:AJ67" si="187">AI44</f>
        <v>1050</v>
      </c>
      <c r="AJ67" s="4">
        <f t="shared" si="187"/>
        <v>0</v>
      </c>
      <c r="AK67" s="172">
        <f t="shared" si="147"/>
        <v>2773</v>
      </c>
      <c r="AL67" s="284">
        <f t="shared" si="148"/>
        <v>0.60940220545560064</v>
      </c>
      <c r="AM67" s="172">
        <f t="shared" si="161"/>
        <v>1050</v>
      </c>
      <c r="AN67" s="4">
        <f t="shared" ref="AN67:AO67" si="188">AN44</f>
        <v>1050</v>
      </c>
      <c r="AO67" s="4">
        <f t="shared" si="188"/>
        <v>0</v>
      </c>
      <c r="AP67" s="172">
        <f t="shared" si="149"/>
        <v>3823</v>
      </c>
      <c r="AQ67" s="284">
        <f t="shared" si="150"/>
        <v>0.37865128020194733</v>
      </c>
      <c r="AR67" s="172">
        <f t="shared" si="163"/>
        <v>525</v>
      </c>
      <c r="AS67" s="4">
        <f t="shared" ref="AS67:AT67" si="189">AS44</f>
        <v>525</v>
      </c>
      <c r="AT67" s="4">
        <f t="shared" si="189"/>
        <v>0</v>
      </c>
      <c r="AU67" s="172">
        <f t="shared" si="151"/>
        <v>4348</v>
      </c>
      <c r="AV67" s="284">
        <f t="shared" si="152"/>
        <v>0.1373267067747842</v>
      </c>
      <c r="AW67" s="181">
        <f t="shared" si="153"/>
        <v>4348</v>
      </c>
      <c r="AX67" s="192">
        <f t="shared" si="154"/>
        <v>0.99588145623801028</v>
      </c>
    </row>
    <row r="68" spans="1:50" s="3" customFormat="1" ht="16.5" customHeight="1" outlineLevel="1" x14ac:dyDescent="0.25">
      <c r="B68" s="52" t="s">
        <v>290</v>
      </c>
      <c r="C68" s="56" t="s">
        <v>22</v>
      </c>
      <c r="D68" s="4"/>
      <c r="E68" s="4"/>
      <c r="F68" s="4"/>
      <c r="G68" s="172">
        <f t="shared" si="133"/>
        <v>0</v>
      </c>
      <c r="H68" s="282">
        <f t="shared" si="134"/>
        <v>0</v>
      </c>
      <c r="I68" s="4"/>
      <c r="J68" s="172">
        <f t="shared" si="135"/>
        <v>0</v>
      </c>
      <c r="K68" s="282">
        <f t="shared" si="136"/>
        <v>0</v>
      </c>
      <c r="L68" s="4"/>
      <c r="M68" s="172">
        <f t="shared" si="137"/>
        <v>0</v>
      </c>
      <c r="N68" s="282">
        <f t="shared" si="138"/>
        <v>0</v>
      </c>
      <c r="O68" s="4">
        <f>'Ενεργοί πελάτες'!O69</f>
        <v>0</v>
      </c>
      <c r="P68" s="158"/>
      <c r="Q68" s="283"/>
      <c r="R68" s="4">
        <f>'Ενεργοί πελάτες'!R69</f>
        <v>0</v>
      </c>
      <c r="S68" s="172">
        <f t="shared" si="139"/>
        <v>0</v>
      </c>
      <c r="T68" s="282">
        <f t="shared" si="140"/>
        <v>0</v>
      </c>
      <c r="U68" s="181">
        <f t="shared" si="141"/>
        <v>0</v>
      </c>
      <c r="V68" s="192">
        <f t="shared" si="142"/>
        <v>0</v>
      </c>
      <c r="X68" s="172">
        <f t="shared" si="155"/>
        <v>362</v>
      </c>
      <c r="Y68" s="4">
        <f t="shared" ref="Y68:Z68" si="190">Y45</f>
        <v>0</v>
      </c>
      <c r="Z68" s="4">
        <f t="shared" si="190"/>
        <v>362</v>
      </c>
      <c r="AA68" s="172">
        <f t="shared" si="143"/>
        <v>362</v>
      </c>
      <c r="AB68" s="282">
        <f t="shared" si="144"/>
        <v>0</v>
      </c>
      <c r="AC68" s="172">
        <f t="shared" si="157"/>
        <v>1399</v>
      </c>
      <c r="AD68" s="4">
        <f t="shared" ref="AD68:AE68" si="191">AD45</f>
        <v>1399</v>
      </c>
      <c r="AE68" s="4">
        <f t="shared" si="191"/>
        <v>0</v>
      </c>
      <c r="AF68" s="172">
        <f t="shared" si="145"/>
        <v>1761</v>
      </c>
      <c r="AG68" s="284">
        <f t="shared" si="146"/>
        <v>3.8646408839779007</v>
      </c>
      <c r="AH68" s="172">
        <f t="shared" si="159"/>
        <v>1229</v>
      </c>
      <c r="AI68" s="4">
        <f t="shared" ref="AI68:AJ68" si="192">AI45</f>
        <v>1229</v>
      </c>
      <c r="AJ68" s="4">
        <f t="shared" si="192"/>
        <v>0</v>
      </c>
      <c r="AK68" s="172">
        <f t="shared" si="147"/>
        <v>2990</v>
      </c>
      <c r="AL68" s="284">
        <f t="shared" si="148"/>
        <v>0.69789892106757523</v>
      </c>
      <c r="AM68" s="172">
        <f t="shared" si="161"/>
        <v>1050</v>
      </c>
      <c r="AN68" s="4">
        <f t="shared" ref="AN68:AO68" si="193">AN45</f>
        <v>1050</v>
      </c>
      <c r="AO68" s="4">
        <f t="shared" si="193"/>
        <v>0</v>
      </c>
      <c r="AP68" s="172">
        <f t="shared" si="149"/>
        <v>4040</v>
      </c>
      <c r="AQ68" s="284">
        <f t="shared" si="150"/>
        <v>0.3511705685618729</v>
      </c>
      <c r="AR68" s="172">
        <f t="shared" si="163"/>
        <v>525</v>
      </c>
      <c r="AS68" s="4">
        <f t="shared" ref="AS68:AT68" si="194">AS45</f>
        <v>525</v>
      </c>
      <c r="AT68" s="4">
        <f t="shared" si="194"/>
        <v>0</v>
      </c>
      <c r="AU68" s="172">
        <f t="shared" si="151"/>
        <v>4565</v>
      </c>
      <c r="AV68" s="284">
        <f t="shared" si="152"/>
        <v>0.12995049504950495</v>
      </c>
      <c r="AW68" s="181">
        <f t="shared" si="153"/>
        <v>4565</v>
      </c>
      <c r="AX68" s="192">
        <f t="shared" si="154"/>
        <v>0.88444320499540141</v>
      </c>
    </row>
    <row r="69" spans="1:50" s="3" customFormat="1" ht="16.5" customHeight="1" outlineLevel="1" x14ac:dyDescent="0.25">
      <c r="B69" s="52" t="s">
        <v>291</v>
      </c>
      <c r="C69" s="56" t="s">
        <v>22</v>
      </c>
      <c r="D69" s="4"/>
      <c r="E69" s="4"/>
      <c r="F69" s="4"/>
      <c r="G69" s="172">
        <f t="shared" si="133"/>
        <v>0</v>
      </c>
      <c r="H69" s="282">
        <f t="shared" si="134"/>
        <v>0</v>
      </c>
      <c r="I69" s="4"/>
      <c r="J69" s="172">
        <f t="shared" si="135"/>
        <v>0</v>
      </c>
      <c r="K69" s="282">
        <f t="shared" si="136"/>
        <v>0</v>
      </c>
      <c r="L69" s="4"/>
      <c r="M69" s="172">
        <f t="shared" si="137"/>
        <v>0</v>
      </c>
      <c r="N69" s="282">
        <f t="shared" si="138"/>
        <v>0</v>
      </c>
      <c r="O69" s="4">
        <f>'Ενεργοί πελάτες'!O70</f>
        <v>37</v>
      </c>
      <c r="P69" s="158"/>
      <c r="Q69" s="283"/>
      <c r="R69" s="4">
        <f>'Ενεργοί πελάτες'!R70</f>
        <v>1158</v>
      </c>
      <c r="S69" s="172">
        <f t="shared" si="139"/>
        <v>1158</v>
      </c>
      <c r="T69" s="282">
        <f t="shared" si="140"/>
        <v>0</v>
      </c>
      <c r="U69" s="181">
        <f t="shared" si="141"/>
        <v>1158</v>
      </c>
      <c r="V69" s="192">
        <f t="shared" si="142"/>
        <v>0</v>
      </c>
      <c r="X69" s="172">
        <f t="shared" si="155"/>
        <v>147</v>
      </c>
      <c r="Y69" s="4">
        <f t="shared" ref="Y69:Z69" si="195">Y46</f>
        <v>147</v>
      </c>
      <c r="Z69" s="4">
        <f t="shared" si="195"/>
        <v>0</v>
      </c>
      <c r="AA69" s="172">
        <f t="shared" si="143"/>
        <v>1305</v>
      </c>
      <c r="AB69" s="282">
        <f t="shared" si="144"/>
        <v>0.12694300518134716</v>
      </c>
      <c r="AC69" s="172">
        <f t="shared" si="157"/>
        <v>111</v>
      </c>
      <c r="AD69" s="4">
        <f t="shared" ref="AD69:AE69" si="196">AD46</f>
        <v>111</v>
      </c>
      <c r="AE69" s="4">
        <f t="shared" si="196"/>
        <v>0</v>
      </c>
      <c r="AF69" s="172">
        <f t="shared" si="145"/>
        <v>1416</v>
      </c>
      <c r="AG69" s="284">
        <f t="shared" si="146"/>
        <v>8.5057471264367815E-2</v>
      </c>
      <c r="AH69" s="172">
        <f t="shared" si="159"/>
        <v>25</v>
      </c>
      <c r="AI69" s="4">
        <f t="shared" ref="AI69:AJ69" si="197">AI46</f>
        <v>25</v>
      </c>
      <c r="AJ69" s="4">
        <f t="shared" si="197"/>
        <v>0</v>
      </c>
      <c r="AK69" s="172">
        <f t="shared" si="147"/>
        <v>1441</v>
      </c>
      <c r="AL69" s="284">
        <f t="shared" si="148"/>
        <v>1.7655367231638418E-2</v>
      </c>
      <c r="AM69" s="172">
        <f t="shared" si="161"/>
        <v>25</v>
      </c>
      <c r="AN69" s="4">
        <f t="shared" ref="AN69:AO69" si="198">AN46</f>
        <v>25</v>
      </c>
      <c r="AO69" s="4">
        <f t="shared" si="198"/>
        <v>0</v>
      </c>
      <c r="AP69" s="172">
        <f t="shared" si="149"/>
        <v>1466</v>
      </c>
      <c r="AQ69" s="284">
        <f t="shared" si="150"/>
        <v>1.7349063150589868E-2</v>
      </c>
      <c r="AR69" s="172">
        <f t="shared" si="163"/>
        <v>17</v>
      </c>
      <c r="AS69" s="4">
        <f t="shared" ref="AS69:AT69" si="199">AS46</f>
        <v>17</v>
      </c>
      <c r="AT69" s="4">
        <f t="shared" si="199"/>
        <v>0</v>
      </c>
      <c r="AU69" s="172">
        <f t="shared" si="151"/>
        <v>1483</v>
      </c>
      <c r="AV69" s="284">
        <f t="shared" si="152"/>
        <v>1.1596180081855388E-2</v>
      </c>
      <c r="AW69" s="181">
        <f t="shared" si="153"/>
        <v>325</v>
      </c>
      <c r="AX69" s="192">
        <f t="shared" si="154"/>
        <v>3.2482406083759185E-2</v>
      </c>
    </row>
    <row r="70" spans="1:50" s="3" customFormat="1" ht="16.5" customHeight="1" outlineLevel="1" x14ac:dyDescent="0.25">
      <c r="B70" s="52" t="s">
        <v>307</v>
      </c>
      <c r="C70" s="56" t="s">
        <v>22</v>
      </c>
      <c r="D70" s="4"/>
      <c r="E70" s="4"/>
      <c r="F70" s="4"/>
      <c r="G70" s="172"/>
      <c r="H70" s="282">
        <f t="shared" si="134"/>
        <v>0</v>
      </c>
      <c r="I70" s="4"/>
      <c r="J70" s="172"/>
      <c r="K70" s="282">
        <f t="shared" si="136"/>
        <v>0</v>
      </c>
      <c r="L70" s="4"/>
      <c r="M70" s="172"/>
      <c r="N70" s="282">
        <f t="shared" si="138"/>
        <v>0</v>
      </c>
      <c r="O70" s="4"/>
      <c r="P70" s="158"/>
      <c r="Q70" s="283"/>
      <c r="R70" s="4"/>
      <c r="S70" s="172"/>
      <c r="T70" s="282">
        <f t="shared" si="140"/>
        <v>0</v>
      </c>
      <c r="U70" s="181">
        <f t="shared" si="141"/>
        <v>0</v>
      </c>
      <c r="V70" s="192">
        <f t="shared" si="142"/>
        <v>0</v>
      </c>
      <c r="X70" s="172">
        <f t="shared" ref="X70:X74" si="200">Y70+Z70</f>
        <v>55</v>
      </c>
      <c r="Y70" s="4">
        <f t="shared" ref="Y70:Z70" si="201">Y47</f>
        <v>0</v>
      </c>
      <c r="Z70" s="4">
        <f t="shared" si="201"/>
        <v>55</v>
      </c>
      <c r="AA70" s="172">
        <f t="shared" ref="AA70:AA74" si="202">S70+X70</f>
        <v>55</v>
      </c>
      <c r="AB70" s="282">
        <f t="shared" ref="AB70:AB74" si="203">IFERROR((AA70-S70)/S70,0)</f>
        <v>0</v>
      </c>
      <c r="AC70" s="172">
        <f t="shared" ref="AC70:AC74" si="204">AD70+AE70</f>
        <v>85</v>
      </c>
      <c r="AD70" s="4">
        <f t="shared" ref="AD70:AE70" si="205">AD47</f>
        <v>85</v>
      </c>
      <c r="AE70" s="4">
        <f t="shared" si="205"/>
        <v>0</v>
      </c>
      <c r="AF70" s="172">
        <f t="shared" ref="AF70:AF74" si="206">AA70+AC70</f>
        <v>140</v>
      </c>
      <c r="AG70" s="284">
        <f t="shared" ref="AG70:AG74" si="207">IFERROR((AF70-AA70)/AA70,0)</f>
        <v>1.5454545454545454</v>
      </c>
      <c r="AH70" s="172">
        <f t="shared" ref="AH70:AH74" si="208">AI70+AJ70</f>
        <v>90</v>
      </c>
      <c r="AI70" s="4">
        <f t="shared" ref="AI70:AJ70" si="209">AI47</f>
        <v>90</v>
      </c>
      <c r="AJ70" s="4">
        <f t="shared" si="209"/>
        <v>0</v>
      </c>
      <c r="AK70" s="172">
        <f t="shared" ref="AK70:AK74" si="210">AF70+AH70</f>
        <v>230</v>
      </c>
      <c r="AL70" s="284">
        <f t="shared" ref="AL70:AL74" si="211">IFERROR((AK70-AF70)/AF70,0)</f>
        <v>0.6428571428571429</v>
      </c>
      <c r="AM70" s="172">
        <f t="shared" ref="AM70:AM74" si="212">AN70+AO70</f>
        <v>55</v>
      </c>
      <c r="AN70" s="4">
        <f t="shared" ref="AN70:AO70" si="213">AN47</f>
        <v>55</v>
      </c>
      <c r="AO70" s="4">
        <f t="shared" si="213"/>
        <v>0</v>
      </c>
      <c r="AP70" s="172">
        <f t="shared" ref="AP70:AP74" si="214">AK70+AM70</f>
        <v>285</v>
      </c>
      <c r="AQ70" s="284">
        <f t="shared" ref="AQ70:AQ74" si="215">IFERROR((AP70-AK70)/AK70,0)</f>
        <v>0.2391304347826087</v>
      </c>
      <c r="AR70" s="172">
        <f t="shared" ref="AR70:AR74" si="216">AS70+AT70</f>
        <v>45</v>
      </c>
      <c r="AS70" s="4">
        <f t="shared" ref="AS70:AT70" si="217">AS47</f>
        <v>45</v>
      </c>
      <c r="AT70" s="4">
        <f t="shared" si="217"/>
        <v>0</v>
      </c>
      <c r="AU70" s="172">
        <f t="shared" ref="AU70:AU74" si="218">AP70+AR70</f>
        <v>330</v>
      </c>
      <c r="AV70" s="284">
        <f t="shared" ref="AV70:AV74" si="219">IFERROR((AU70-AP70)/AP70,0)</f>
        <v>0.15789473684210525</v>
      </c>
      <c r="AW70" s="181">
        <f t="shared" ref="AW70:AW74" si="220">X70+AC70+AH70+AM70+AR70</f>
        <v>330</v>
      </c>
      <c r="AX70" s="192">
        <f t="shared" si="154"/>
        <v>0.56508458007328732</v>
      </c>
    </row>
    <row r="71" spans="1:50" s="3" customFormat="1" ht="16.5" customHeight="1" outlineLevel="1" x14ac:dyDescent="0.25">
      <c r="B71" s="52" t="s">
        <v>304</v>
      </c>
      <c r="C71" s="56" t="s">
        <v>22</v>
      </c>
      <c r="D71" s="4"/>
      <c r="E71" s="4"/>
      <c r="F71" s="4"/>
      <c r="G71" s="172"/>
      <c r="H71" s="282">
        <f t="shared" si="134"/>
        <v>0</v>
      </c>
      <c r="I71" s="4"/>
      <c r="J71" s="172"/>
      <c r="K71" s="282">
        <f t="shared" si="136"/>
        <v>0</v>
      </c>
      <c r="L71" s="4"/>
      <c r="M71" s="172"/>
      <c r="N71" s="282">
        <f t="shared" si="138"/>
        <v>0</v>
      </c>
      <c r="O71" s="4"/>
      <c r="P71" s="158"/>
      <c r="Q71" s="283"/>
      <c r="R71" s="4"/>
      <c r="S71" s="172"/>
      <c r="T71" s="282">
        <f t="shared" si="140"/>
        <v>0</v>
      </c>
      <c r="U71" s="181">
        <f t="shared" si="141"/>
        <v>0</v>
      </c>
      <c r="V71" s="192">
        <f t="shared" si="142"/>
        <v>0</v>
      </c>
      <c r="X71" s="172">
        <f t="shared" si="200"/>
        <v>55</v>
      </c>
      <c r="Y71" s="4">
        <f t="shared" ref="Y71:Z71" si="221">Y48</f>
        <v>0</v>
      </c>
      <c r="Z71" s="4">
        <f t="shared" si="221"/>
        <v>55</v>
      </c>
      <c r="AA71" s="172">
        <f t="shared" si="202"/>
        <v>55</v>
      </c>
      <c r="AB71" s="282">
        <f t="shared" si="203"/>
        <v>0</v>
      </c>
      <c r="AC71" s="172">
        <f t="shared" si="204"/>
        <v>85</v>
      </c>
      <c r="AD71" s="4">
        <f t="shared" ref="AD71:AE71" si="222">AD48</f>
        <v>85</v>
      </c>
      <c r="AE71" s="4">
        <f t="shared" si="222"/>
        <v>0</v>
      </c>
      <c r="AF71" s="172">
        <f t="shared" si="206"/>
        <v>140</v>
      </c>
      <c r="AG71" s="284">
        <f t="shared" si="207"/>
        <v>1.5454545454545454</v>
      </c>
      <c r="AH71" s="172">
        <f t="shared" si="208"/>
        <v>140</v>
      </c>
      <c r="AI71" s="4">
        <f t="shared" ref="AI71:AJ71" si="223">AI48</f>
        <v>140</v>
      </c>
      <c r="AJ71" s="4">
        <f t="shared" si="223"/>
        <v>0</v>
      </c>
      <c r="AK71" s="172">
        <f t="shared" si="210"/>
        <v>280</v>
      </c>
      <c r="AL71" s="284">
        <f t="shared" si="211"/>
        <v>1</v>
      </c>
      <c r="AM71" s="172">
        <f t="shared" si="212"/>
        <v>65</v>
      </c>
      <c r="AN71" s="4">
        <f t="shared" ref="AN71:AO71" si="224">AN48</f>
        <v>65</v>
      </c>
      <c r="AO71" s="4">
        <f t="shared" si="224"/>
        <v>0</v>
      </c>
      <c r="AP71" s="172">
        <f t="shared" si="214"/>
        <v>345</v>
      </c>
      <c r="AQ71" s="284">
        <f t="shared" si="215"/>
        <v>0.23214285714285715</v>
      </c>
      <c r="AR71" s="172">
        <f t="shared" si="216"/>
        <v>45</v>
      </c>
      <c r="AS71" s="4">
        <f t="shared" ref="AS71:AT71" si="225">AS48</f>
        <v>45</v>
      </c>
      <c r="AT71" s="4">
        <f t="shared" si="225"/>
        <v>0</v>
      </c>
      <c r="AU71" s="172">
        <f t="shared" si="218"/>
        <v>390</v>
      </c>
      <c r="AV71" s="284">
        <f t="shared" si="219"/>
        <v>0.13043478260869565</v>
      </c>
      <c r="AW71" s="181">
        <f t="shared" si="220"/>
        <v>390</v>
      </c>
      <c r="AX71" s="192">
        <f t="shared" si="154"/>
        <v>0.63183212794569754</v>
      </c>
    </row>
    <row r="72" spans="1:50" s="3" customFormat="1" ht="16.5" customHeight="1" outlineLevel="1" x14ac:dyDescent="0.25">
      <c r="B72" s="52" t="s">
        <v>305</v>
      </c>
      <c r="C72" s="56" t="s">
        <v>22</v>
      </c>
      <c r="D72" s="4"/>
      <c r="E72" s="4"/>
      <c r="F72" s="4"/>
      <c r="G72" s="172"/>
      <c r="H72" s="282">
        <f t="shared" si="134"/>
        <v>0</v>
      </c>
      <c r="I72" s="4"/>
      <c r="J72" s="172"/>
      <c r="K72" s="282">
        <f t="shared" si="136"/>
        <v>0</v>
      </c>
      <c r="L72" s="4"/>
      <c r="M72" s="172"/>
      <c r="N72" s="282">
        <f t="shared" si="138"/>
        <v>0</v>
      </c>
      <c r="O72" s="4"/>
      <c r="P72" s="158"/>
      <c r="Q72" s="283"/>
      <c r="R72" s="4"/>
      <c r="S72" s="172"/>
      <c r="T72" s="282">
        <f t="shared" si="140"/>
        <v>0</v>
      </c>
      <c r="U72" s="181">
        <f t="shared" si="141"/>
        <v>0</v>
      </c>
      <c r="V72" s="192">
        <f t="shared" si="142"/>
        <v>0</v>
      </c>
      <c r="X72" s="172">
        <f t="shared" si="200"/>
        <v>55</v>
      </c>
      <c r="Y72" s="4">
        <f t="shared" ref="Y72:Z72" si="226">Y49</f>
        <v>0</v>
      </c>
      <c r="Z72" s="4">
        <f t="shared" si="226"/>
        <v>55</v>
      </c>
      <c r="AA72" s="172">
        <f t="shared" si="202"/>
        <v>55</v>
      </c>
      <c r="AB72" s="282">
        <f t="shared" si="203"/>
        <v>0</v>
      </c>
      <c r="AC72" s="172">
        <f t="shared" si="204"/>
        <v>85</v>
      </c>
      <c r="AD72" s="4">
        <f t="shared" ref="AD72:AE72" si="227">AD49</f>
        <v>85</v>
      </c>
      <c r="AE72" s="4">
        <f t="shared" si="227"/>
        <v>0</v>
      </c>
      <c r="AF72" s="172">
        <f t="shared" si="206"/>
        <v>140</v>
      </c>
      <c r="AG72" s="284">
        <f t="shared" si="207"/>
        <v>1.5454545454545454</v>
      </c>
      <c r="AH72" s="172">
        <f t="shared" si="208"/>
        <v>120</v>
      </c>
      <c r="AI72" s="4">
        <f t="shared" ref="AI72:AJ72" si="228">AI49</f>
        <v>120</v>
      </c>
      <c r="AJ72" s="4">
        <f t="shared" si="228"/>
        <v>0</v>
      </c>
      <c r="AK72" s="172">
        <f t="shared" si="210"/>
        <v>260</v>
      </c>
      <c r="AL72" s="284">
        <f t="shared" si="211"/>
        <v>0.8571428571428571</v>
      </c>
      <c r="AM72" s="172">
        <f t="shared" si="212"/>
        <v>55</v>
      </c>
      <c r="AN72" s="4">
        <f t="shared" ref="AN72:AO72" si="229">AN49</f>
        <v>55</v>
      </c>
      <c r="AO72" s="4">
        <f t="shared" si="229"/>
        <v>0</v>
      </c>
      <c r="AP72" s="172">
        <f t="shared" si="214"/>
        <v>315</v>
      </c>
      <c r="AQ72" s="284">
        <f t="shared" si="215"/>
        <v>0.21153846153846154</v>
      </c>
      <c r="AR72" s="172">
        <f t="shared" si="216"/>
        <v>45</v>
      </c>
      <c r="AS72" s="4">
        <f t="shared" ref="AS72:AT72" si="230">AS49</f>
        <v>45</v>
      </c>
      <c r="AT72" s="4">
        <f t="shared" si="230"/>
        <v>0</v>
      </c>
      <c r="AU72" s="172">
        <f t="shared" si="218"/>
        <v>360</v>
      </c>
      <c r="AV72" s="284">
        <f t="shared" si="219"/>
        <v>0.14285714285714285</v>
      </c>
      <c r="AW72" s="181">
        <f t="shared" si="220"/>
        <v>360</v>
      </c>
      <c r="AX72" s="192">
        <f t="shared" si="154"/>
        <v>0.59950260902173125</v>
      </c>
    </row>
    <row r="73" spans="1:50" s="3" customFormat="1" ht="16.5" customHeight="1" outlineLevel="1" x14ac:dyDescent="0.25">
      <c r="B73" s="52" t="s">
        <v>306</v>
      </c>
      <c r="C73" s="56" t="s">
        <v>22</v>
      </c>
      <c r="D73" s="4"/>
      <c r="E73" s="4"/>
      <c r="F73" s="4"/>
      <c r="G73" s="172"/>
      <c r="H73" s="282">
        <f t="shared" si="134"/>
        <v>0</v>
      </c>
      <c r="I73" s="4"/>
      <c r="J73" s="172"/>
      <c r="K73" s="282">
        <f t="shared" si="136"/>
        <v>0</v>
      </c>
      <c r="L73" s="4"/>
      <c r="M73" s="172"/>
      <c r="N73" s="282">
        <f t="shared" si="138"/>
        <v>0</v>
      </c>
      <c r="O73" s="4"/>
      <c r="P73" s="158"/>
      <c r="Q73" s="283"/>
      <c r="R73" s="4"/>
      <c r="S73" s="172"/>
      <c r="T73" s="282">
        <f t="shared" si="140"/>
        <v>0</v>
      </c>
      <c r="U73" s="181">
        <f t="shared" si="141"/>
        <v>0</v>
      </c>
      <c r="V73" s="192">
        <f t="shared" si="142"/>
        <v>0</v>
      </c>
      <c r="X73" s="172">
        <f t="shared" si="200"/>
        <v>106</v>
      </c>
      <c r="Y73" s="4">
        <f t="shared" ref="Y73:Z73" si="231">Y50</f>
        <v>106</v>
      </c>
      <c r="Z73" s="4">
        <f t="shared" si="231"/>
        <v>0</v>
      </c>
      <c r="AA73" s="172">
        <f t="shared" si="202"/>
        <v>106</v>
      </c>
      <c r="AB73" s="282">
        <f t="shared" si="203"/>
        <v>0</v>
      </c>
      <c r="AC73" s="172">
        <f t="shared" si="204"/>
        <v>124</v>
      </c>
      <c r="AD73" s="4">
        <f t="shared" ref="AD73:AE73" si="232">AD50</f>
        <v>124</v>
      </c>
      <c r="AE73" s="4">
        <f t="shared" si="232"/>
        <v>0</v>
      </c>
      <c r="AF73" s="172">
        <f t="shared" si="206"/>
        <v>230</v>
      </c>
      <c r="AG73" s="284">
        <f t="shared" si="207"/>
        <v>1.1698113207547169</v>
      </c>
      <c r="AH73" s="172">
        <f t="shared" si="208"/>
        <v>162</v>
      </c>
      <c r="AI73" s="4">
        <f t="shared" ref="AI73:AJ73" si="233">AI50</f>
        <v>162</v>
      </c>
      <c r="AJ73" s="4">
        <f t="shared" si="233"/>
        <v>0</v>
      </c>
      <c r="AK73" s="172">
        <f t="shared" si="210"/>
        <v>392</v>
      </c>
      <c r="AL73" s="284">
        <f t="shared" si="211"/>
        <v>0.70434782608695656</v>
      </c>
      <c r="AM73" s="172">
        <f t="shared" si="212"/>
        <v>159</v>
      </c>
      <c r="AN73" s="4">
        <f t="shared" ref="AN73:AO73" si="234">AN50</f>
        <v>159</v>
      </c>
      <c r="AO73" s="4">
        <f t="shared" si="234"/>
        <v>0</v>
      </c>
      <c r="AP73" s="172">
        <f t="shared" si="214"/>
        <v>551</v>
      </c>
      <c r="AQ73" s="284">
        <f t="shared" si="215"/>
        <v>0.40561224489795916</v>
      </c>
      <c r="AR73" s="172">
        <f t="shared" si="216"/>
        <v>100</v>
      </c>
      <c r="AS73" s="4">
        <f t="shared" ref="AS73:AT73" si="235">AS50</f>
        <v>100</v>
      </c>
      <c r="AT73" s="4">
        <f t="shared" si="235"/>
        <v>0</v>
      </c>
      <c r="AU73" s="172">
        <f t="shared" si="218"/>
        <v>651</v>
      </c>
      <c r="AV73" s="284">
        <f t="shared" si="219"/>
        <v>0.18148820326678766</v>
      </c>
      <c r="AW73" s="181">
        <f t="shared" si="220"/>
        <v>651</v>
      </c>
      <c r="AX73" s="192">
        <f t="shared" si="154"/>
        <v>0.57423216170350977</v>
      </c>
    </row>
    <row r="74" spans="1:50" s="3" customFormat="1" ht="16.5" customHeight="1" outlineLevel="1" x14ac:dyDescent="0.25">
      <c r="B74" s="52" t="s">
        <v>308</v>
      </c>
      <c r="C74" s="56" t="s">
        <v>22</v>
      </c>
      <c r="D74" s="4"/>
      <c r="E74" s="4"/>
      <c r="F74" s="4"/>
      <c r="G74" s="172"/>
      <c r="H74" s="282">
        <f t="shared" si="134"/>
        <v>0</v>
      </c>
      <c r="I74" s="4"/>
      <c r="J74" s="172"/>
      <c r="K74" s="282">
        <f t="shared" si="136"/>
        <v>0</v>
      </c>
      <c r="L74" s="4"/>
      <c r="M74" s="172"/>
      <c r="N74" s="282">
        <f t="shared" si="138"/>
        <v>0</v>
      </c>
      <c r="O74" s="4"/>
      <c r="P74" s="158"/>
      <c r="Q74" s="283"/>
      <c r="R74" s="4"/>
      <c r="S74" s="172"/>
      <c r="T74" s="282">
        <f t="shared" si="140"/>
        <v>0</v>
      </c>
      <c r="U74" s="181">
        <f t="shared" si="141"/>
        <v>0</v>
      </c>
      <c r="V74" s="192">
        <f t="shared" si="142"/>
        <v>0</v>
      </c>
      <c r="X74" s="172">
        <f t="shared" si="200"/>
        <v>85</v>
      </c>
      <c r="Y74" s="4">
        <f t="shared" ref="Y74:Z74" si="236">Y51</f>
        <v>0</v>
      </c>
      <c r="Z74" s="4">
        <f t="shared" si="236"/>
        <v>85</v>
      </c>
      <c r="AA74" s="172">
        <f t="shared" si="202"/>
        <v>85</v>
      </c>
      <c r="AB74" s="282">
        <f t="shared" si="203"/>
        <v>0</v>
      </c>
      <c r="AC74" s="172">
        <f t="shared" si="204"/>
        <v>100</v>
      </c>
      <c r="AD74" s="4">
        <f t="shared" ref="AD74:AE74" si="237">AD51</f>
        <v>100</v>
      </c>
      <c r="AE74" s="4">
        <f t="shared" si="237"/>
        <v>0</v>
      </c>
      <c r="AF74" s="172">
        <f t="shared" si="206"/>
        <v>185</v>
      </c>
      <c r="AG74" s="284">
        <f t="shared" si="207"/>
        <v>1.1764705882352942</v>
      </c>
      <c r="AH74" s="172">
        <f t="shared" si="208"/>
        <v>122</v>
      </c>
      <c r="AI74" s="4">
        <f t="shared" ref="AI74:AJ74" si="238">AI51</f>
        <v>122</v>
      </c>
      <c r="AJ74" s="4">
        <f t="shared" si="238"/>
        <v>0</v>
      </c>
      <c r="AK74" s="172">
        <f t="shared" si="210"/>
        <v>307</v>
      </c>
      <c r="AL74" s="284">
        <f t="shared" si="211"/>
        <v>0.6594594594594595</v>
      </c>
      <c r="AM74" s="172">
        <f t="shared" si="212"/>
        <v>100</v>
      </c>
      <c r="AN74" s="4">
        <f t="shared" ref="AN74:AO74" si="239">AN51</f>
        <v>100</v>
      </c>
      <c r="AO74" s="4">
        <f t="shared" si="239"/>
        <v>0</v>
      </c>
      <c r="AP74" s="172">
        <f t="shared" si="214"/>
        <v>407</v>
      </c>
      <c r="AQ74" s="284">
        <f t="shared" si="215"/>
        <v>0.32573289902280128</v>
      </c>
      <c r="AR74" s="172">
        <f t="shared" si="216"/>
        <v>100</v>
      </c>
      <c r="AS74" s="4">
        <f t="shared" ref="AS74:AT74" si="240">AS51</f>
        <v>100</v>
      </c>
      <c r="AT74" s="4">
        <f t="shared" si="240"/>
        <v>0</v>
      </c>
      <c r="AU74" s="172">
        <f t="shared" si="218"/>
        <v>507</v>
      </c>
      <c r="AV74" s="284">
        <f t="shared" si="219"/>
        <v>0.24570024570024571</v>
      </c>
      <c r="AW74" s="181">
        <f t="shared" si="220"/>
        <v>507</v>
      </c>
      <c r="AX74" s="192">
        <f t="shared" si="154"/>
        <v>0.56277789056285377</v>
      </c>
    </row>
    <row r="75" spans="1:50" s="3" customFormat="1" ht="16.5" customHeight="1" outlineLevel="1" x14ac:dyDescent="0.25">
      <c r="B75" s="52"/>
      <c r="C75" s="56"/>
      <c r="D75" s="4"/>
      <c r="E75" s="4"/>
      <c r="F75" s="4"/>
      <c r="G75" s="172"/>
      <c r="H75" s="282">
        <f t="shared" si="134"/>
        <v>0</v>
      </c>
      <c r="I75" s="4"/>
      <c r="J75" s="172"/>
      <c r="K75" s="282">
        <f t="shared" si="136"/>
        <v>0</v>
      </c>
      <c r="L75" s="4"/>
      <c r="M75" s="172"/>
      <c r="N75" s="282">
        <f t="shared" si="138"/>
        <v>0</v>
      </c>
      <c r="O75" s="4"/>
      <c r="P75" s="158"/>
      <c r="Q75" s="283"/>
      <c r="R75" s="4"/>
      <c r="S75" s="172"/>
      <c r="T75" s="282">
        <f t="shared" si="140"/>
        <v>0</v>
      </c>
      <c r="U75" s="181">
        <f t="shared" si="141"/>
        <v>0</v>
      </c>
      <c r="V75" s="192">
        <f t="shared" si="142"/>
        <v>0</v>
      </c>
      <c r="X75" s="172"/>
      <c r="Y75" s="4"/>
      <c r="Z75" s="4"/>
      <c r="AA75" s="172"/>
      <c r="AB75" s="282">
        <f t="shared" si="144"/>
        <v>0</v>
      </c>
      <c r="AC75" s="172"/>
      <c r="AD75" s="4"/>
      <c r="AE75" s="4"/>
      <c r="AF75" s="172"/>
      <c r="AG75" s="284">
        <f t="shared" si="146"/>
        <v>0</v>
      </c>
      <c r="AH75" s="172"/>
      <c r="AI75" s="4"/>
      <c r="AJ75" s="4"/>
      <c r="AK75" s="172"/>
      <c r="AL75" s="284">
        <f t="shared" si="148"/>
        <v>0</v>
      </c>
      <c r="AM75" s="172"/>
      <c r="AN75" s="4"/>
      <c r="AO75" s="4"/>
      <c r="AP75" s="172"/>
      <c r="AQ75" s="284">
        <f t="shared" si="150"/>
        <v>0</v>
      </c>
      <c r="AR75" s="172"/>
      <c r="AS75" s="4"/>
      <c r="AT75" s="4"/>
      <c r="AU75" s="172"/>
      <c r="AV75" s="284">
        <f t="shared" si="152"/>
        <v>0</v>
      </c>
      <c r="AW75" s="181"/>
      <c r="AX75" s="192">
        <f t="shared" si="154"/>
        <v>0</v>
      </c>
    </row>
    <row r="76" spans="1:50" s="3" customFormat="1" ht="15" customHeight="1" outlineLevel="1" x14ac:dyDescent="0.25">
      <c r="B76" s="404" t="s">
        <v>90</v>
      </c>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row>
    <row r="77" spans="1:50" s="3" customFormat="1" ht="15" customHeight="1" outlineLevel="1" x14ac:dyDescent="0.25">
      <c r="B77" s="52" t="s">
        <v>82</v>
      </c>
      <c r="C77" s="56" t="s">
        <v>22</v>
      </c>
      <c r="D77" s="172">
        <f>SUM(D61:D75)</f>
        <v>0</v>
      </c>
      <c r="E77" s="172">
        <f>SUM(E61:E75)</f>
        <v>0</v>
      </c>
      <c r="F77" s="172">
        <f>SUM(F61:F75)</f>
        <v>0</v>
      </c>
      <c r="G77" s="172">
        <f>SUM(G61:G75)</f>
        <v>0</v>
      </c>
      <c r="H77" s="282">
        <f>IFERROR((G77-E77)/E77,0)</f>
        <v>0</v>
      </c>
      <c r="I77" s="172">
        <f>SUM(I61:I75)</f>
        <v>0</v>
      </c>
      <c r="J77" s="172">
        <f>SUM(J61:J75)</f>
        <v>0</v>
      </c>
      <c r="K77" s="282">
        <f t="shared" ref="K77" si="241">IFERROR((J77-G77)/G77,0)</f>
        <v>0</v>
      </c>
      <c r="L77" s="172">
        <f>SUM(L61:L75)</f>
        <v>0</v>
      </c>
      <c r="M77" s="172">
        <f>SUM(M61:M75)</f>
        <v>0</v>
      </c>
      <c r="N77" s="282">
        <f t="shared" ref="N77" si="242">IFERROR((M77-J77)/J77,0)</f>
        <v>0</v>
      </c>
      <c r="O77" s="172">
        <f>SUM(O61:O75)</f>
        <v>63</v>
      </c>
      <c r="P77" s="172"/>
      <c r="Q77" s="282"/>
      <c r="R77" s="172">
        <f>SUM(R61:R75)</f>
        <v>1184</v>
      </c>
      <c r="S77" s="172">
        <f>SUM(S61:S75)</f>
        <v>1184</v>
      </c>
      <c r="T77" s="282">
        <f>IFERROR((S77-M77)/M77,0)</f>
        <v>0</v>
      </c>
      <c r="U77" s="181">
        <f>D77+F77+I77+L77+R77</f>
        <v>1184</v>
      </c>
      <c r="V77" s="192">
        <f>IFERROR((S77/E77)^(1/4)-1,0)</f>
        <v>0</v>
      </c>
      <c r="X77" s="187">
        <f>SUM(X61:X75)</f>
        <v>2038</v>
      </c>
      <c r="Y77" s="187">
        <f>SUM(Y61:Y75)</f>
        <v>722</v>
      </c>
      <c r="Z77" s="187">
        <f>SUM(Z61:Z75)</f>
        <v>1316</v>
      </c>
      <c r="AA77" s="187">
        <f>SUM(AA61:AA75)</f>
        <v>3222</v>
      </c>
      <c r="AB77" s="282">
        <f>IFERROR((AA77-S77)/S77,0)</f>
        <v>1.7212837837837838</v>
      </c>
      <c r="AC77" s="187">
        <f>SUM(AC61:AC75)</f>
        <v>6368</v>
      </c>
      <c r="AD77" s="187">
        <f>SUM(AD61:AD75)</f>
        <v>6368</v>
      </c>
      <c r="AE77" s="187">
        <f>SUM(AE61:AE75)</f>
        <v>0</v>
      </c>
      <c r="AF77" s="187">
        <f>SUM(AF61:AF75)</f>
        <v>9590</v>
      </c>
      <c r="AG77" s="284">
        <f>IFERROR((AF77-AA77)/AA77,0)</f>
        <v>1.9764121663563003</v>
      </c>
      <c r="AH77" s="187">
        <f>SUM(AH61:AH75)</f>
        <v>5279</v>
      </c>
      <c r="AI77" s="187">
        <f>SUM(AI61:AI75)</f>
        <v>5279</v>
      </c>
      <c r="AJ77" s="187">
        <f>SUM(AJ61:AJ75)</f>
        <v>0</v>
      </c>
      <c r="AK77" s="187">
        <f>SUM(AK61:AK75)</f>
        <v>14869</v>
      </c>
      <c r="AL77" s="284">
        <f t="shared" ref="AL77" si="243">IFERROR((AK77-AF77)/AF77,0)</f>
        <v>0.55046923879040666</v>
      </c>
      <c r="AM77" s="187">
        <f>SUM(AM61:AM75)</f>
        <v>3734</v>
      </c>
      <c r="AN77" s="187">
        <f>SUM(AN61:AN75)</f>
        <v>3734</v>
      </c>
      <c r="AO77" s="187">
        <f>SUM(AO61:AO75)</f>
        <v>0</v>
      </c>
      <c r="AP77" s="187">
        <f>SUM(AP61:AP75)</f>
        <v>18603</v>
      </c>
      <c r="AQ77" s="284">
        <f t="shared" ref="AQ77" si="244">IFERROR((AP77-AK77)/AK77,0)</f>
        <v>0.25112650480866233</v>
      </c>
      <c r="AR77" s="187">
        <f>SUM(AR61:AR75)</f>
        <v>1971</v>
      </c>
      <c r="AS77" s="187">
        <f>SUM(AS61:AS75)</f>
        <v>1971</v>
      </c>
      <c r="AT77" s="187">
        <f>SUM(AT61:AT75)</f>
        <v>0</v>
      </c>
      <c r="AU77" s="187">
        <f>SUM(AU61:AU75)</f>
        <v>20574</v>
      </c>
      <c r="AV77" s="284">
        <f t="shared" ref="AV77" si="245">IFERROR((AU77-AP77)/AP77,0)</f>
        <v>0.10595065312046444</v>
      </c>
      <c r="AW77" s="187">
        <f>SUM(AW61:AW75)</f>
        <v>19390</v>
      </c>
      <c r="AX77" s="192">
        <f t="shared" ref="AX77" si="246">IFERROR((AU77/AA77)^(1/4)-1,0)</f>
        <v>0.58963823388944991</v>
      </c>
    </row>
    <row r="78" spans="1:50" ht="15" customHeight="1" x14ac:dyDescent="0.25"/>
    <row r="79" spans="1:50" ht="15.75" x14ac:dyDescent="0.25">
      <c r="B79" s="352" t="s">
        <v>206</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row>
    <row r="80" spans="1:50" ht="5.45" customHeight="1" outlineLevel="1" x14ac:dyDescent="0.2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row>
    <row r="81" spans="1:50" outlineLevel="1" x14ac:dyDescent="0.25">
      <c r="B81" s="393"/>
      <c r="C81" s="385" t="s">
        <v>20</v>
      </c>
      <c r="D81" s="372" t="s">
        <v>262</v>
      </c>
      <c r="E81" s="373"/>
      <c r="F81" s="373"/>
      <c r="G81" s="373"/>
      <c r="H81" s="373"/>
      <c r="I81" s="373"/>
      <c r="J81" s="373"/>
      <c r="K81" s="373"/>
      <c r="L81" s="373"/>
      <c r="M81" s="373"/>
      <c r="N81" s="373"/>
      <c r="O81" s="373"/>
      <c r="P81" s="373"/>
      <c r="Q81" s="374"/>
      <c r="R81" s="372" t="s">
        <v>260</v>
      </c>
      <c r="S81" s="373"/>
      <c r="T81" s="374"/>
      <c r="U81" s="388" t="str">
        <f xml:space="preserve"> D82&amp;" - "&amp;R82</f>
        <v>2018 - 2022</v>
      </c>
      <c r="V81" s="398"/>
      <c r="X81" s="372" t="s">
        <v>261</v>
      </c>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outlineLevel="1" x14ac:dyDescent="0.25">
      <c r="B82" s="394"/>
      <c r="C82" s="386"/>
      <c r="D82" s="372">
        <f>$C$3-5</f>
        <v>2018</v>
      </c>
      <c r="E82" s="374"/>
      <c r="F82" s="372">
        <f>$C$3-4</f>
        <v>2019</v>
      </c>
      <c r="G82" s="373"/>
      <c r="H82" s="374"/>
      <c r="I82" s="372">
        <f>$C$3-3</f>
        <v>2020</v>
      </c>
      <c r="J82" s="373"/>
      <c r="K82" s="374"/>
      <c r="L82" s="372">
        <f>$C$3-2</f>
        <v>2021</v>
      </c>
      <c r="M82" s="373"/>
      <c r="N82" s="374"/>
      <c r="O82" s="372" t="str">
        <f>$C$3-1&amp;""&amp;" ("&amp;"Σεπτ"&amp;")"</f>
        <v>2022 (Σεπτ)</v>
      </c>
      <c r="P82" s="373"/>
      <c r="Q82" s="374"/>
      <c r="R82" s="372">
        <f>$C$3-1</f>
        <v>2022</v>
      </c>
      <c r="S82" s="373"/>
      <c r="T82" s="374"/>
      <c r="U82" s="390"/>
      <c r="V82" s="399"/>
      <c r="X82" s="372">
        <f>$C$3</f>
        <v>2023</v>
      </c>
      <c r="Y82" s="373"/>
      <c r="Z82" s="373"/>
      <c r="AA82" s="373"/>
      <c r="AB82" s="374"/>
      <c r="AC82" s="372">
        <f>$C$3+1</f>
        <v>2024</v>
      </c>
      <c r="AD82" s="373"/>
      <c r="AE82" s="373"/>
      <c r="AF82" s="373"/>
      <c r="AG82" s="374"/>
      <c r="AH82" s="372">
        <f>$C$3+2</f>
        <v>2025</v>
      </c>
      <c r="AI82" s="373"/>
      <c r="AJ82" s="373"/>
      <c r="AK82" s="373"/>
      <c r="AL82" s="374"/>
      <c r="AM82" s="372">
        <f>$C$3+3</f>
        <v>2026</v>
      </c>
      <c r="AN82" s="373"/>
      <c r="AO82" s="373"/>
      <c r="AP82" s="373"/>
      <c r="AQ82" s="374"/>
      <c r="AR82" s="372">
        <f>$C$3+4</f>
        <v>2027</v>
      </c>
      <c r="AS82" s="373"/>
      <c r="AT82" s="373"/>
      <c r="AU82" s="373"/>
      <c r="AV82" s="374"/>
      <c r="AW82" s="376" t="str">
        <f>X82&amp;" - "&amp;AR82</f>
        <v>2023 - 2027</v>
      </c>
      <c r="AX82" s="392"/>
    </row>
    <row r="83" spans="1:50" ht="45" outlineLevel="1" x14ac:dyDescent="0.25">
      <c r="B83" s="395"/>
      <c r="C83" s="387"/>
      <c r="D83" s="67" t="s">
        <v>6</v>
      </c>
      <c r="E83" s="68" t="s">
        <v>7</v>
      </c>
      <c r="F83" s="67" t="s">
        <v>6</v>
      </c>
      <c r="G83" s="9" t="s">
        <v>7</v>
      </c>
      <c r="H83" s="68" t="s">
        <v>81</v>
      </c>
      <c r="I83" s="67" t="s">
        <v>6</v>
      </c>
      <c r="J83" s="9" t="s">
        <v>7</v>
      </c>
      <c r="K83" s="68" t="s">
        <v>81</v>
      </c>
      <c r="L83" s="67" t="s">
        <v>6</v>
      </c>
      <c r="M83" s="9" t="s">
        <v>7</v>
      </c>
      <c r="N83" s="68" t="s">
        <v>81</v>
      </c>
      <c r="O83" s="67" t="s">
        <v>6</v>
      </c>
      <c r="P83" s="9" t="s">
        <v>7</v>
      </c>
      <c r="Q83" s="68" t="s">
        <v>81</v>
      </c>
      <c r="R83" s="67" t="s">
        <v>6</v>
      </c>
      <c r="S83" s="9" t="s">
        <v>7</v>
      </c>
      <c r="T83" s="68" t="s">
        <v>81</v>
      </c>
      <c r="U83" s="67" t="s">
        <v>17</v>
      </c>
      <c r="V83" s="132" t="s">
        <v>83</v>
      </c>
      <c r="X83" s="67" t="s">
        <v>6</v>
      </c>
      <c r="Y83" s="117" t="s">
        <v>88</v>
      </c>
      <c r="Z83" s="117" t="s">
        <v>89</v>
      </c>
      <c r="AA83" s="9" t="s">
        <v>7</v>
      </c>
      <c r="AB83" s="68" t="s">
        <v>81</v>
      </c>
      <c r="AC83" s="67" t="s">
        <v>6</v>
      </c>
      <c r="AD83" s="117" t="s">
        <v>88</v>
      </c>
      <c r="AE83" s="117" t="s">
        <v>89</v>
      </c>
      <c r="AF83" s="9" t="s">
        <v>7</v>
      </c>
      <c r="AG83" s="68" t="s">
        <v>81</v>
      </c>
      <c r="AH83" s="67" t="s">
        <v>6</v>
      </c>
      <c r="AI83" s="117" t="s">
        <v>88</v>
      </c>
      <c r="AJ83" s="117" t="s">
        <v>89</v>
      </c>
      <c r="AK83" s="9" t="s">
        <v>7</v>
      </c>
      <c r="AL83" s="68" t="s">
        <v>81</v>
      </c>
      <c r="AM83" s="67" t="s">
        <v>6</v>
      </c>
      <c r="AN83" s="117" t="s">
        <v>88</v>
      </c>
      <c r="AO83" s="117" t="s">
        <v>89</v>
      </c>
      <c r="AP83" s="9" t="s">
        <v>7</v>
      </c>
      <c r="AQ83" s="68" t="s">
        <v>81</v>
      </c>
      <c r="AR83" s="67" t="s">
        <v>6</v>
      </c>
      <c r="AS83" s="117" t="s">
        <v>88</v>
      </c>
      <c r="AT83" s="117" t="s">
        <v>89</v>
      </c>
      <c r="AU83" s="9" t="s">
        <v>7</v>
      </c>
      <c r="AV83" s="68" t="s">
        <v>81</v>
      </c>
      <c r="AW83" s="67" t="s">
        <v>17</v>
      </c>
      <c r="AX83" s="132" t="s">
        <v>83</v>
      </c>
    </row>
    <row r="84" spans="1:50" s="3" customFormat="1" outlineLevel="1" x14ac:dyDescent="0.25">
      <c r="B84" s="52" t="s">
        <v>283</v>
      </c>
      <c r="C84" s="56" t="s">
        <v>22</v>
      </c>
      <c r="D84" s="4"/>
      <c r="E84" s="4"/>
      <c r="F84" s="4"/>
      <c r="G84" s="172">
        <f t="shared" ref="G84:G92" si="247">E84+F84</f>
        <v>0</v>
      </c>
      <c r="H84" s="282">
        <f t="shared" ref="H84:H98" si="248">IFERROR((G84-E84)/E84,0)</f>
        <v>0</v>
      </c>
      <c r="I84" s="4"/>
      <c r="J84" s="172">
        <f t="shared" ref="J84:J92" si="249">G84+I84</f>
        <v>0</v>
      </c>
      <c r="K84" s="282">
        <f t="shared" ref="K84:K98" si="250">IFERROR((J84-G84)/G84,0)</f>
        <v>0</v>
      </c>
      <c r="L84" s="4"/>
      <c r="M84" s="172">
        <f t="shared" ref="M84:M92" si="251">J84+L84</f>
        <v>0</v>
      </c>
      <c r="N84" s="282">
        <f t="shared" ref="N84:N98" si="252">IFERROR((M84-J84)/J84,0)</f>
        <v>0</v>
      </c>
      <c r="O84" s="4">
        <f>'Ενεργοί πελάτες'!O86</f>
        <v>4</v>
      </c>
      <c r="P84" s="158"/>
      <c r="Q84" s="283"/>
      <c r="R84" s="4">
        <f>'Ενεργοί πελάτες'!R86</f>
        <v>4</v>
      </c>
      <c r="S84" s="172">
        <f t="shared" ref="S84:S92" si="253">M84+R84</f>
        <v>4</v>
      </c>
      <c r="T84" s="282">
        <f t="shared" ref="T84:T98" si="254">IFERROR((S84-M84)/M84,0)</f>
        <v>0</v>
      </c>
      <c r="U84" s="181">
        <f t="shared" ref="U84:U98" si="255">D84+F84+I84+L84+R84</f>
        <v>4</v>
      </c>
      <c r="V84" s="192">
        <f t="shared" ref="V84:V98" si="256">IFERROR((S84/E84)^(1/4)-1,0)</f>
        <v>0</v>
      </c>
      <c r="X84" s="172">
        <f>Y84+Z84</f>
        <v>29</v>
      </c>
      <c r="Y84" s="4">
        <f>'Ανάλυση για νέους πελάτες'!D53</f>
        <v>29</v>
      </c>
      <c r="Z84" s="4"/>
      <c r="AA84" s="172">
        <f t="shared" ref="AA84:AA92" si="257">S84+X84</f>
        <v>33</v>
      </c>
      <c r="AB84" s="282">
        <f t="shared" ref="AB84:AB98" si="258">IFERROR((AA84-S84)/S84,0)</f>
        <v>7.25</v>
      </c>
      <c r="AC84" s="172">
        <f>AD84+AE84</f>
        <v>23</v>
      </c>
      <c r="AD84" s="4">
        <f>'Ανάλυση για νέους πελάτες'!E53</f>
        <v>23</v>
      </c>
      <c r="AE84" s="4"/>
      <c r="AF84" s="172">
        <f t="shared" ref="AF84:AF92" si="259">AA84+AC84</f>
        <v>56</v>
      </c>
      <c r="AG84" s="284">
        <f t="shared" ref="AG84:AG98" si="260">IFERROR((AF84-AA84)/AA84,0)</f>
        <v>0.69696969696969702</v>
      </c>
      <c r="AH84" s="172">
        <f>AI84+AJ84</f>
        <v>0</v>
      </c>
      <c r="AI84" s="4">
        <f>'Ανάλυση για νέους πελάτες'!F53</f>
        <v>0</v>
      </c>
      <c r="AJ84" s="4"/>
      <c r="AK84" s="172">
        <f t="shared" ref="AK84:AK92" si="261">AF84+AH84</f>
        <v>56</v>
      </c>
      <c r="AL84" s="284">
        <f t="shared" ref="AL84:AL98" si="262">IFERROR((AK84-AF84)/AF84,0)</f>
        <v>0</v>
      </c>
      <c r="AM84" s="172">
        <f>AN84+AO84</f>
        <v>0</v>
      </c>
      <c r="AN84" s="4">
        <f>'Ανάλυση για νέους πελάτες'!G53</f>
        <v>0</v>
      </c>
      <c r="AO84" s="317"/>
      <c r="AP84" s="172">
        <f t="shared" ref="AP84:AP92" si="263">AK84+AM84</f>
        <v>56</v>
      </c>
      <c r="AQ84" s="284">
        <f t="shared" ref="AQ84:AQ98" si="264">IFERROR((AP84-AK84)/AK84,0)</f>
        <v>0</v>
      </c>
      <c r="AR84" s="172">
        <f>AS84+AT84</f>
        <v>0</v>
      </c>
      <c r="AS84" s="4">
        <f>'Ανάλυση για νέους πελάτες'!G53</f>
        <v>0</v>
      </c>
      <c r="AT84" s="4"/>
      <c r="AU84" s="172">
        <f t="shared" ref="AU84:AU92" si="265">AP84+AR84</f>
        <v>56</v>
      </c>
      <c r="AV84" s="284">
        <f t="shared" ref="AV84:AV98" si="266">IFERROR((AU84-AP84)/AP84,0)</f>
        <v>0</v>
      </c>
      <c r="AW84" s="181">
        <f t="shared" ref="AW84:AW92" si="267">X84+AC84+AH84+AM84+AR84</f>
        <v>52</v>
      </c>
      <c r="AX84" s="192">
        <f t="shared" ref="AX84:AX98" si="268">IFERROR((AU84/AA84)^(1/4)-1,0)</f>
        <v>0.14134915541119986</v>
      </c>
    </row>
    <row r="85" spans="1:50" s="290" customFormat="1" outlineLevel="1" x14ac:dyDescent="0.25">
      <c r="A85" s="3"/>
      <c r="B85" s="52" t="s">
        <v>284</v>
      </c>
      <c r="C85" s="56" t="s">
        <v>22</v>
      </c>
      <c r="D85" s="285"/>
      <c r="E85" s="285"/>
      <c r="F85" s="285"/>
      <c r="G85" s="172">
        <f t="shared" si="247"/>
        <v>0</v>
      </c>
      <c r="H85" s="282">
        <f t="shared" si="248"/>
        <v>0</v>
      </c>
      <c r="I85" s="285"/>
      <c r="J85" s="172">
        <f t="shared" si="249"/>
        <v>0</v>
      </c>
      <c r="K85" s="282">
        <f t="shared" si="250"/>
        <v>0</v>
      </c>
      <c r="L85" s="285"/>
      <c r="M85" s="172">
        <f t="shared" si="251"/>
        <v>0</v>
      </c>
      <c r="N85" s="282">
        <f t="shared" si="252"/>
        <v>0</v>
      </c>
      <c r="O85" s="4">
        <f>'Ενεργοί πελάτες'!O87</f>
        <v>0</v>
      </c>
      <c r="P85" s="287"/>
      <c r="Q85" s="288"/>
      <c r="R85" s="4">
        <f>'Ενεργοί πελάτες'!R87</f>
        <v>0</v>
      </c>
      <c r="S85" s="172">
        <f t="shared" si="253"/>
        <v>0</v>
      </c>
      <c r="T85" s="286">
        <f t="shared" si="254"/>
        <v>0</v>
      </c>
      <c r="U85" s="181">
        <f t="shared" si="255"/>
        <v>0</v>
      </c>
      <c r="V85" s="289">
        <f t="shared" si="256"/>
        <v>0</v>
      </c>
      <c r="W85" s="3"/>
      <c r="X85" s="172">
        <f t="shared" ref="X85:X92" si="269">Y85+Z85</f>
        <v>46</v>
      </c>
      <c r="Y85" s="285"/>
      <c r="Z85" s="285">
        <f>'Ανάλυση για νέους πελάτες'!D54</f>
        <v>46</v>
      </c>
      <c r="AA85" s="172">
        <f t="shared" si="257"/>
        <v>46</v>
      </c>
      <c r="AB85" s="282">
        <f t="shared" si="258"/>
        <v>0</v>
      </c>
      <c r="AC85" s="172">
        <f t="shared" ref="AC85:AC92" si="270">AD85+AE85</f>
        <v>26</v>
      </c>
      <c r="AD85" s="4">
        <f>'Ανάλυση για νέους πελάτες'!E54</f>
        <v>26</v>
      </c>
      <c r="AE85" s="4"/>
      <c r="AF85" s="172">
        <f t="shared" si="259"/>
        <v>72</v>
      </c>
      <c r="AG85" s="286">
        <f t="shared" si="260"/>
        <v>0.56521739130434778</v>
      </c>
      <c r="AH85" s="172">
        <f>AI85+AJ85</f>
        <v>10</v>
      </c>
      <c r="AI85" s="4">
        <f>'Ανάλυση για νέους πελάτες'!F54</f>
        <v>10</v>
      </c>
      <c r="AJ85" s="4"/>
      <c r="AK85" s="204">
        <f t="shared" si="261"/>
        <v>82</v>
      </c>
      <c r="AL85" s="286">
        <f t="shared" si="262"/>
        <v>0.1388888888888889</v>
      </c>
      <c r="AM85" s="172">
        <f t="shared" ref="AM85:AM92" si="271">AN85+AO85</f>
        <v>0</v>
      </c>
      <c r="AN85" s="4">
        <f>'Ανάλυση για νέους πελάτες'!G54</f>
        <v>0</v>
      </c>
      <c r="AO85" s="317"/>
      <c r="AP85" s="172">
        <f t="shared" si="263"/>
        <v>82</v>
      </c>
      <c r="AQ85" s="286">
        <f t="shared" si="264"/>
        <v>0</v>
      </c>
      <c r="AR85" s="172">
        <f t="shared" ref="AR85:AR92" si="272">AS85+AT85</f>
        <v>0</v>
      </c>
      <c r="AS85" s="4">
        <f>'Ανάλυση για νέους πελάτες'!G54</f>
        <v>0</v>
      </c>
      <c r="AT85" s="4"/>
      <c r="AU85" s="172">
        <f t="shared" si="265"/>
        <v>82</v>
      </c>
      <c r="AV85" s="286">
        <f t="shared" si="266"/>
        <v>0</v>
      </c>
      <c r="AW85" s="181">
        <f t="shared" si="267"/>
        <v>82</v>
      </c>
      <c r="AX85" s="289">
        <f t="shared" si="268"/>
        <v>0.15548418357975113</v>
      </c>
    </row>
    <row r="86" spans="1:50" s="290" customFormat="1" outlineLevel="1" x14ac:dyDescent="0.25">
      <c r="A86" s="3"/>
      <c r="B86" s="52" t="s">
        <v>285</v>
      </c>
      <c r="C86" s="56" t="s">
        <v>22</v>
      </c>
      <c r="D86" s="285"/>
      <c r="E86" s="285"/>
      <c r="F86" s="285"/>
      <c r="G86" s="172">
        <f t="shared" si="247"/>
        <v>0</v>
      </c>
      <c r="H86" s="282">
        <f t="shared" si="248"/>
        <v>0</v>
      </c>
      <c r="I86" s="285"/>
      <c r="J86" s="172">
        <f t="shared" si="249"/>
        <v>0</v>
      </c>
      <c r="K86" s="282">
        <f t="shared" si="250"/>
        <v>0</v>
      </c>
      <c r="L86" s="285"/>
      <c r="M86" s="172">
        <f t="shared" si="251"/>
        <v>0</v>
      </c>
      <c r="N86" s="282">
        <f t="shared" si="252"/>
        <v>0</v>
      </c>
      <c r="O86" s="4">
        <f>'Ενεργοί πελάτες'!O88</f>
        <v>0</v>
      </c>
      <c r="P86" s="287"/>
      <c r="Q86" s="288"/>
      <c r="R86" s="4">
        <f>'Ενεργοί πελάτες'!R88</f>
        <v>0</v>
      </c>
      <c r="S86" s="172">
        <f t="shared" si="253"/>
        <v>0</v>
      </c>
      <c r="T86" s="286">
        <f t="shared" si="254"/>
        <v>0</v>
      </c>
      <c r="U86" s="181">
        <f t="shared" si="255"/>
        <v>0</v>
      </c>
      <c r="V86" s="289">
        <f t="shared" si="256"/>
        <v>0</v>
      </c>
      <c r="W86" s="3"/>
      <c r="X86" s="172">
        <f t="shared" si="269"/>
        <v>54</v>
      </c>
      <c r="Y86" s="285"/>
      <c r="Z86" s="285">
        <f>'Ανάλυση για νέους πελάτες'!D55</f>
        <v>54</v>
      </c>
      <c r="AA86" s="172">
        <f t="shared" si="257"/>
        <v>54</v>
      </c>
      <c r="AB86" s="282">
        <f t="shared" si="258"/>
        <v>0</v>
      </c>
      <c r="AC86" s="172">
        <f t="shared" si="270"/>
        <v>21</v>
      </c>
      <c r="AD86" s="4">
        <f>'Ανάλυση για νέους πελάτες'!E55</f>
        <v>21</v>
      </c>
      <c r="AE86" s="4"/>
      <c r="AF86" s="172">
        <f t="shared" si="259"/>
        <v>75</v>
      </c>
      <c r="AG86" s="286">
        <f t="shared" si="260"/>
        <v>0.3888888888888889</v>
      </c>
      <c r="AH86" s="172">
        <f t="shared" ref="AH86:AH92" si="273">AI86+AJ86</f>
        <v>13</v>
      </c>
      <c r="AI86" s="4">
        <f>'Ανάλυση για νέους πελάτες'!F55</f>
        <v>13</v>
      </c>
      <c r="AJ86" s="4"/>
      <c r="AK86" s="204">
        <f t="shared" si="261"/>
        <v>88</v>
      </c>
      <c r="AL86" s="286">
        <f t="shared" si="262"/>
        <v>0.17333333333333334</v>
      </c>
      <c r="AM86" s="172">
        <f t="shared" si="271"/>
        <v>5</v>
      </c>
      <c r="AN86" s="4">
        <f>'Ανάλυση για νέους πελάτες'!G55</f>
        <v>5</v>
      </c>
      <c r="AO86" s="317"/>
      <c r="AP86" s="172">
        <f t="shared" si="263"/>
        <v>93</v>
      </c>
      <c r="AQ86" s="286">
        <f t="shared" si="264"/>
        <v>5.6818181818181816E-2</v>
      </c>
      <c r="AR86" s="172">
        <f t="shared" si="272"/>
        <v>5</v>
      </c>
      <c r="AS86" s="4">
        <f>'Ανάλυση για νέους πελάτες'!G55</f>
        <v>5</v>
      </c>
      <c r="AT86" s="4"/>
      <c r="AU86" s="172">
        <f t="shared" si="265"/>
        <v>98</v>
      </c>
      <c r="AV86" s="286">
        <f t="shared" si="266"/>
        <v>5.3763440860215055E-2</v>
      </c>
      <c r="AW86" s="181">
        <f t="shared" si="267"/>
        <v>98</v>
      </c>
      <c r="AX86" s="289">
        <f t="shared" si="268"/>
        <v>0.16066818174236475</v>
      </c>
    </row>
    <row r="87" spans="1:50" s="3" customFormat="1" outlineLevel="1" x14ac:dyDescent="0.25">
      <c r="B87" s="52" t="s">
        <v>286</v>
      </c>
      <c r="C87" s="56" t="s">
        <v>22</v>
      </c>
      <c r="D87" s="4"/>
      <c r="E87" s="4"/>
      <c r="F87" s="4"/>
      <c r="G87" s="172">
        <f t="shared" si="247"/>
        <v>0</v>
      </c>
      <c r="H87" s="282">
        <f t="shared" si="248"/>
        <v>0</v>
      </c>
      <c r="I87" s="4"/>
      <c r="J87" s="172">
        <f t="shared" si="249"/>
        <v>0</v>
      </c>
      <c r="K87" s="282">
        <f t="shared" si="250"/>
        <v>0</v>
      </c>
      <c r="L87" s="4"/>
      <c r="M87" s="172">
        <f t="shared" si="251"/>
        <v>0</v>
      </c>
      <c r="N87" s="282">
        <f t="shared" si="252"/>
        <v>0</v>
      </c>
      <c r="O87" s="4">
        <f>'Ενεργοί πελάτες'!O89</f>
        <v>0</v>
      </c>
      <c r="P87" s="158"/>
      <c r="Q87" s="283"/>
      <c r="R87" s="4">
        <f>'Ενεργοί πελάτες'!R89</f>
        <v>0</v>
      </c>
      <c r="S87" s="172">
        <f t="shared" si="253"/>
        <v>0</v>
      </c>
      <c r="T87" s="282">
        <f t="shared" si="254"/>
        <v>0</v>
      </c>
      <c r="U87" s="181">
        <f t="shared" si="255"/>
        <v>0</v>
      </c>
      <c r="V87" s="192">
        <f t="shared" si="256"/>
        <v>0</v>
      </c>
      <c r="X87" s="172">
        <f t="shared" si="269"/>
        <v>35</v>
      </c>
      <c r="Y87" s="4"/>
      <c r="Z87" s="285">
        <f>'Ανάλυση για νέους πελάτες'!D56</f>
        <v>35</v>
      </c>
      <c r="AA87" s="172">
        <f t="shared" si="257"/>
        <v>35</v>
      </c>
      <c r="AB87" s="282">
        <f t="shared" si="258"/>
        <v>0</v>
      </c>
      <c r="AC87" s="172">
        <f t="shared" si="270"/>
        <v>68</v>
      </c>
      <c r="AD87" s="4">
        <f>'Ανάλυση για νέους πελάτες'!E56</f>
        <v>68</v>
      </c>
      <c r="AE87" s="4"/>
      <c r="AF87" s="172">
        <f t="shared" si="259"/>
        <v>103</v>
      </c>
      <c r="AG87" s="284">
        <f t="shared" si="260"/>
        <v>1.9428571428571428</v>
      </c>
      <c r="AH87" s="172">
        <f t="shared" si="273"/>
        <v>4</v>
      </c>
      <c r="AI87" s="4">
        <f>'Ανάλυση για νέους πελάτες'!F56</f>
        <v>4</v>
      </c>
      <c r="AJ87" s="4"/>
      <c r="AK87" s="172">
        <f t="shared" si="261"/>
        <v>107</v>
      </c>
      <c r="AL87" s="284">
        <f t="shared" si="262"/>
        <v>3.8834951456310676E-2</v>
      </c>
      <c r="AM87" s="172">
        <f t="shared" si="271"/>
        <v>20</v>
      </c>
      <c r="AN87" s="4">
        <f>'Ανάλυση για νέους πελάτες'!G56</f>
        <v>20</v>
      </c>
      <c r="AO87" s="317"/>
      <c r="AP87" s="172">
        <f t="shared" si="263"/>
        <v>127</v>
      </c>
      <c r="AQ87" s="284">
        <f t="shared" si="264"/>
        <v>0.18691588785046728</v>
      </c>
      <c r="AR87" s="172">
        <f t="shared" si="272"/>
        <v>20</v>
      </c>
      <c r="AS87" s="4">
        <f>'Ανάλυση για νέους πελάτες'!G56</f>
        <v>20</v>
      </c>
      <c r="AT87" s="4"/>
      <c r="AU87" s="172">
        <f t="shared" si="265"/>
        <v>147</v>
      </c>
      <c r="AV87" s="284">
        <f t="shared" si="266"/>
        <v>0.15748031496062992</v>
      </c>
      <c r="AW87" s="181">
        <f t="shared" si="267"/>
        <v>147</v>
      </c>
      <c r="AX87" s="192">
        <f t="shared" si="268"/>
        <v>0.43156912274326453</v>
      </c>
    </row>
    <row r="88" spans="1:50" s="290" customFormat="1" outlineLevel="1" x14ac:dyDescent="0.25">
      <c r="A88" s="3"/>
      <c r="B88" s="52" t="s">
        <v>287</v>
      </c>
      <c r="C88" s="56" t="s">
        <v>22</v>
      </c>
      <c r="D88" s="285"/>
      <c r="E88" s="285"/>
      <c r="F88" s="285"/>
      <c r="G88" s="172">
        <f t="shared" si="247"/>
        <v>0</v>
      </c>
      <c r="H88" s="282">
        <f t="shared" si="248"/>
        <v>0</v>
      </c>
      <c r="I88" s="285"/>
      <c r="J88" s="172">
        <f t="shared" si="249"/>
        <v>0</v>
      </c>
      <c r="K88" s="282">
        <f t="shared" si="250"/>
        <v>0</v>
      </c>
      <c r="L88" s="285"/>
      <c r="M88" s="172">
        <f t="shared" si="251"/>
        <v>0</v>
      </c>
      <c r="N88" s="282">
        <f t="shared" si="252"/>
        <v>0</v>
      </c>
      <c r="O88" s="4">
        <f>'Ενεργοί πελάτες'!O90</f>
        <v>0</v>
      </c>
      <c r="P88" s="287"/>
      <c r="Q88" s="288"/>
      <c r="R88" s="4">
        <f>'Ενεργοί πελάτες'!R90</f>
        <v>0</v>
      </c>
      <c r="S88" s="172">
        <f t="shared" si="253"/>
        <v>0</v>
      </c>
      <c r="T88" s="286">
        <f t="shared" si="254"/>
        <v>0</v>
      </c>
      <c r="U88" s="181">
        <f t="shared" si="255"/>
        <v>0</v>
      </c>
      <c r="V88" s="289">
        <f t="shared" si="256"/>
        <v>0</v>
      </c>
      <c r="W88" s="3"/>
      <c r="X88" s="172">
        <f t="shared" si="269"/>
        <v>0</v>
      </c>
      <c r="Y88" s="285"/>
      <c r="Z88" s="285">
        <f>'Ανάλυση για νέους πελάτες'!D57</f>
        <v>0</v>
      </c>
      <c r="AA88" s="172">
        <f t="shared" si="257"/>
        <v>0</v>
      </c>
      <c r="AB88" s="282">
        <f t="shared" si="258"/>
        <v>0</v>
      </c>
      <c r="AC88" s="172">
        <f t="shared" si="270"/>
        <v>184</v>
      </c>
      <c r="AD88" s="4">
        <f>'Ανάλυση για νέους πελάτες'!E57</f>
        <v>184</v>
      </c>
      <c r="AE88" s="4"/>
      <c r="AF88" s="172">
        <f t="shared" si="259"/>
        <v>184</v>
      </c>
      <c r="AG88" s="286">
        <f t="shared" si="260"/>
        <v>0</v>
      </c>
      <c r="AH88" s="172">
        <f t="shared" si="273"/>
        <v>57</v>
      </c>
      <c r="AI88" s="4">
        <f>'Ανάλυση για νέους πελάτες'!F57</f>
        <v>57</v>
      </c>
      <c r="AJ88" s="4"/>
      <c r="AK88" s="204">
        <f t="shared" si="261"/>
        <v>241</v>
      </c>
      <c r="AL88" s="286">
        <f t="shared" si="262"/>
        <v>0.30978260869565216</v>
      </c>
      <c r="AM88" s="172">
        <f t="shared" si="271"/>
        <v>10</v>
      </c>
      <c r="AN88" s="4">
        <f>'Ανάλυση για νέους πελάτες'!G57</f>
        <v>10</v>
      </c>
      <c r="AO88" s="317"/>
      <c r="AP88" s="172">
        <f t="shared" si="263"/>
        <v>251</v>
      </c>
      <c r="AQ88" s="286">
        <f t="shared" si="264"/>
        <v>4.1493775933609957E-2</v>
      </c>
      <c r="AR88" s="172">
        <f t="shared" si="272"/>
        <v>10</v>
      </c>
      <c r="AS88" s="4">
        <f>'Ανάλυση για νέους πελάτες'!G57</f>
        <v>10</v>
      </c>
      <c r="AT88" s="4"/>
      <c r="AU88" s="172">
        <f t="shared" si="265"/>
        <v>261</v>
      </c>
      <c r="AV88" s="286">
        <f t="shared" si="266"/>
        <v>3.9840637450199202E-2</v>
      </c>
      <c r="AW88" s="181">
        <f t="shared" si="267"/>
        <v>261</v>
      </c>
      <c r="AX88" s="289">
        <f t="shared" si="268"/>
        <v>0</v>
      </c>
    </row>
    <row r="89" spans="1:50" s="3" customFormat="1" outlineLevel="1" x14ac:dyDescent="0.25">
      <c r="B89" s="52" t="s">
        <v>288</v>
      </c>
      <c r="C89" s="56" t="s">
        <v>22</v>
      </c>
      <c r="D89" s="4"/>
      <c r="E89" s="4"/>
      <c r="F89" s="4"/>
      <c r="G89" s="172">
        <f t="shared" si="247"/>
        <v>0</v>
      </c>
      <c r="H89" s="282">
        <f t="shared" si="248"/>
        <v>0</v>
      </c>
      <c r="I89" s="4"/>
      <c r="J89" s="172">
        <f t="shared" si="249"/>
        <v>0</v>
      </c>
      <c r="K89" s="282">
        <f t="shared" si="250"/>
        <v>0</v>
      </c>
      <c r="L89" s="4"/>
      <c r="M89" s="172">
        <f t="shared" si="251"/>
        <v>0</v>
      </c>
      <c r="N89" s="282">
        <f t="shared" si="252"/>
        <v>0</v>
      </c>
      <c r="O89" s="4">
        <f>'Ενεργοί πελάτες'!O91</f>
        <v>0</v>
      </c>
      <c r="P89" s="158"/>
      <c r="Q89" s="283"/>
      <c r="R89" s="4">
        <f>'Ενεργοί πελάτες'!R91</f>
        <v>0</v>
      </c>
      <c r="S89" s="172">
        <f t="shared" si="253"/>
        <v>0</v>
      </c>
      <c r="T89" s="282">
        <f t="shared" si="254"/>
        <v>0</v>
      </c>
      <c r="U89" s="181">
        <f t="shared" si="255"/>
        <v>0</v>
      </c>
      <c r="V89" s="192">
        <f t="shared" si="256"/>
        <v>0</v>
      </c>
      <c r="X89" s="172">
        <f t="shared" si="269"/>
        <v>72</v>
      </c>
      <c r="Y89" s="4"/>
      <c r="Z89" s="285">
        <f>'Ανάλυση για νέους πελάτες'!D58</f>
        <v>72</v>
      </c>
      <c r="AA89" s="172">
        <f t="shared" si="257"/>
        <v>72</v>
      </c>
      <c r="AB89" s="282">
        <f t="shared" si="258"/>
        <v>0</v>
      </c>
      <c r="AC89" s="172">
        <f t="shared" si="270"/>
        <v>7</v>
      </c>
      <c r="AD89" s="4">
        <f>'Ανάλυση για νέους πελάτες'!E58</f>
        <v>7</v>
      </c>
      <c r="AE89" s="4"/>
      <c r="AF89" s="172">
        <f t="shared" si="259"/>
        <v>79</v>
      </c>
      <c r="AG89" s="284">
        <f t="shared" si="260"/>
        <v>9.7222222222222224E-2</v>
      </c>
      <c r="AH89" s="172">
        <f t="shared" si="273"/>
        <v>11</v>
      </c>
      <c r="AI89" s="4">
        <f>'Ανάλυση για νέους πελάτες'!F58</f>
        <v>11</v>
      </c>
      <c r="AJ89" s="4"/>
      <c r="AK89" s="172">
        <f t="shared" si="261"/>
        <v>90</v>
      </c>
      <c r="AL89" s="284">
        <f t="shared" si="262"/>
        <v>0.13924050632911392</v>
      </c>
      <c r="AM89" s="172">
        <f t="shared" si="271"/>
        <v>3</v>
      </c>
      <c r="AN89" s="4">
        <f>'Ανάλυση για νέους πελάτες'!G58</f>
        <v>3</v>
      </c>
      <c r="AO89" s="317"/>
      <c r="AP89" s="172">
        <f t="shared" si="263"/>
        <v>93</v>
      </c>
      <c r="AQ89" s="284">
        <f t="shared" si="264"/>
        <v>3.3333333333333333E-2</v>
      </c>
      <c r="AR89" s="172">
        <f t="shared" si="272"/>
        <v>3</v>
      </c>
      <c r="AS89" s="4">
        <f>'Ανάλυση για νέους πελάτες'!G58</f>
        <v>3</v>
      </c>
      <c r="AT89" s="4"/>
      <c r="AU89" s="172">
        <f t="shared" si="265"/>
        <v>96</v>
      </c>
      <c r="AV89" s="284">
        <f t="shared" si="266"/>
        <v>3.2258064516129031E-2</v>
      </c>
      <c r="AW89" s="181">
        <f t="shared" si="267"/>
        <v>96</v>
      </c>
      <c r="AX89" s="192">
        <f t="shared" si="268"/>
        <v>7.4569931823541991E-2</v>
      </c>
    </row>
    <row r="90" spans="1:50" s="3" customFormat="1" ht="16.5" customHeight="1" outlineLevel="1" x14ac:dyDescent="0.25">
      <c r="B90" s="52" t="s">
        <v>289</v>
      </c>
      <c r="C90" s="56" t="s">
        <v>22</v>
      </c>
      <c r="D90" s="4"/>
      <c r="E90" s="4"/>
      <c r="F90" s="4"/>
      <c r="G90" s="172">
        <f t="shared" si="247"/>
        <v>0</v>
      </c>
      <c r="H90" s="282">
        <f t="shared" si="248"/>
        <v>0</v>
      </c>
      <c r="I90" s="4"/>
      <c r="J90" s="172">
        <f t="shared" si="249"/>
        <v>0</v>
      </c>
      <c r="K90" s="282">
        <f t="shared" si="250"/>
        <v>0</v>
      </c>
      <c r="L90" s="4"/>
      <c r="M90" s="172">
        <f t="shared" si="251"/>
        <v>0</v>
      </c>
      <c r="N90" s="282">
        <f t="shared" si="252"/>
        <v>0</v>
      </c>
      <c r="O90" s="4">
        <f>'Ενεργοί πελάτες'!O92</f>
        <v>0</v>
      </c>
      <c r="P90" s="158"/>
      <c r="Q90" s="283"/>
      <c r="R90" s="4">
        <f>'Ενεργοί πελάτες'!R92</f>
        <v>0</v>
      </c>
      <c r="S90" s="172">
        <f t="shared" si="253"/>
        <v>0</v>
      </c>
      <c r="T90" s="282">
        <f t="shared" si="254"/>
        <v>0</v>
      </c>
      <c r="U90" s="181">
        <f t="shared" si="255"/>
        <v>0</v>
      </c>
      <c r="V90" s="192">
        <f t="shared" si="256"/>
        <v>0</v>
      </c>
      <c r="X90" s="172">
        <f t="shared" si="269"/>
        <v>260</v>
      </c>
      <c r="Y90" s="4"/>
      <c r="Z90" s="285">
        <f>'Ανάλυση για νέους πελάτες'!D59</f>
        <v>260</v>
      </c>
      <c r="AA90" s="172">
        <f t="shared" si="257"/>
        <v>260</v>
      </c>
      <c r="AB90" s="282">
        <f t="shared" si="258"/>
        <v>0</v>
      </c>
      <c r="AC90" s="172">
        <f t="shared" si="270"/>
        <v>218</v>
      </c>
      <c r="AD90" s="4">
        <f>'Ανάλυση για νέους πελάτες'!E59</f>
        <v>218</v>
      </c>
      <c r="AE90" s="4"/>
      <c r="AF90" s="172">
        <f t="shared" si="259"/>
        <v>478</v>
      </c>
      <c r="AG90" s="284">
        <f t="shared" si="260"/>
        <v>0.83846153846153848</v>
      </c>
      <c r="AH90" s="172">
        <f t="shared" si="273"/>
        <v>47</v>
      </c>
      <c r="AI90" s="4">
        <f>'Ανάλυση για νέους πελάτες'!F59</f>
        <v>47</v>
      </c>
      <c r="AJ90" s="4"/>
      <c r="AK90" s="172">
        <f t="shared" si="261"/>
        <v>525</v>
      </c>
      <c r="AL90" s="284">
        <f t="shared" si="262"/>
        <v>9.832635983263599E-2</v>
      </c>
      <c r="AM90" s="172">
        <f t="shared" si="271"/>
        <v>20</v>
      </c>
      <c r="AN90" s="4">
        <f>'Ανάλυση για νέους πελάτες'!G59</f>
        <v>20</v>
      </c>
      <c r="AO90" s="317"/>
      <c r="AP90" s="172">
        <f t="shared" si="263"/>
        <v>545</v>
      </c>
      <c r="AQ90" s="284">
        <f t="shared" si="264"/>
        <v>3.8095238095238099E-2</v>
      </c>
      <c r="AR90" s="172">
        <f t="shared" si="272"/>
        <v>20</v>
      </c>
      <c r="AS90" s="4">
        <f>'Ανάλυση για νέους πελάτες'!G59</f>
        <v>20</v>
      </c>
      <c r="AT90" s="4"/>
      <c r="AU90" s="172">
        <f t="shared" si="265"/>
        <v>565</v>
      </c>
      <c r="AV90" s="284">
        <f t="shared" si="266"/>
        <v>3.669724770642202E-2</v>
      </c>
      <c r="AW90" s="181">
        <f t="shared" si="267"/>
        <v>565</v>
      </c>
      <c r="AX90" s="192">
        <f t="shared" si="268"/>
        <v>0.21414002160240031</v>
      </c>
    </row>
    <row r="91" spans="1:50" s="3" customFormat="1" ht="16.5" customHeight="1" outlineLevel="1" x14ac:dyDescent="0.25">
      <c r="B91" s="52" t="s">
        <v>290</v>
      </c>
      <c r="C91" s="56" t="s">
        <v>22</v>
      </c>
      <c r="D91" s="4"/>
      <c r="E91" s="4"/>
      <c r="F91" s="4"/>
      <c r="G91" s="172">
        <f t="shared" si="247"/>
        <v>0</v>
      </c>
      <c r="H91" s="282">
        <f t="shared" si="248"/>
        <v>0</v>
      </c>
      <c r="I91" s="4"/>
      <c r="J91" s="172">
        <f t="shared" si="249"/>
        <v>0</v>
      </c>
      <c r="K91" s="282">
        <f t="shared" si="250"/>
        <v>0</v>
      </c>
      <c r="L91" s="4"/>
      <c r="M91" s="172">
        <f t="shared" si="251"/>
        <v>0</v>
      </c>
      <c r="N91" s="282">
        <f t="shared" si="252"/>
        <v>0</v>
      </c>
      <c r="O91" s="4">
        <f>'Ενεργοί πελάτες'!O93</f>
        <v>0</v>
      </c>
      <c r="P91" s="158"/>
      <c r="Q91" s="283"/>
      <c r="R91" s="4">
        <f>'Ενεργοί πελάτες'!R93</f>
        <v>0</v>
      </c>
      <c r="S91" s="172">
        <f t="shared" si="253"/>
        <v>0</v>
      </c>
      <c r="T91" s="282">
        <f t="shared" si="254"/>
        <v>0</v>
      </c>
      <c r="U91" s="181">
        <f t="shared" si="255"/>
        <v>0</v>
      </c>
      <c r="V91" s="192">
        <f t="shared" si="256"/>
        <v>0</v>
      </c>
      <c r="X91" s="172">
        <f t="shared" si="269"/>
        <v>114</v>
      </c>
      <c r="Y91" s="4"/>
      <c r="Z91" s="285">
        <f>'Ανάλυση για νέους πελάτες'!D60</f>
        <v>114</v>
      </c>
      <c r="AA91" s="172">
        <f t="shared" si="257"/>
        <v>114</v>
      </c>
      <c r="AB91" s="282">
        <f t="shared" si="258"/>
        <v>0</v>
      </c>
      <c r="AC91" s="172">
        <f t="shared" si="270"/>
        <v>105</v>
      </c>
      <c r="AD91" s="4">
        <f>'Ανάλυση για νέους πελάτες'!E60</f>
        <v>105</v>
      </c>
      <c r="AE91" s="4"/>
      <c r="AF91" s="172">
        <f t="shared" si="259"/>
        <v>219</v>
      </c>
      <c r="AG91" s="284">
        <f t="shared" si="260"/>
        <v>0.92105263157894735</v>
      </c>
      <c r="AH91" s="172">
        <f t="shared" si="273"/>
        <v>40</v>
      </c>
      <c r="AI91" s="4">
        <f>'Ανάλυση για νέους πελάτες'!F60</f>
        <v>40</v>
      </c>
      <c r="AJ91" s="4"/>
      <c r="AK91" s="172">
        <f t="shared" si="261"/>
        <v>259</v>
      </c>
      <c r="AL91" s="284">
        <f t="shared" si="262"/>
        <v>0.18264840182648401</v>
      </c>
      <c r="AM91" s="172">
        <f t="shared" si="271"/>
        <v>20</v>
      </c>
      <c r="AN91" s="4">
        <f>'Ανάλυση για νέους πελάτες'!G60</f>
        <v>20</v>
      </c>
      <c r="AO91" s="317"/>
      <c r="AP91" s="172">
        <f t="shared" si="263"/>
        <v>279</v>
      </c>
      <c r="AQ91" s="284">
        <f t="shared" si="264"/>
        <v>7.7220077220077218E-2</v>
      </c>
      <c r="AR91" s="172">
        <f t="shared" si="272"/>
        <v>20</v>
      </c>
      <c r="AS91" s="4">
        <f>'Ανάλυση για νέους πελάτες'!G60</f>
        <v>20</v>
      </c>
      <c r="AT91" s="4"/>
      <c r="AU91" s="172">
        <f t="shared" si="265"/>
        <v>299</v>
      </c>
      <c r="AV91" s="284">
        <f t="shared" si="266"/>
        <v>7.1684587813620068E-2</v>
      </c>
      <c r="AW91" s="181">
        <f t="shared" si="267"/>
        <v>299</v>
      </c>
      <c r="AX91" s="192">
        <f t="shared" si="268"/>
        <v>0.27259901937616848</v>
      </c>
    </row>
    <row r="92" spans="1:50" s="3" customFormat="1" ht="16.5" customHeight="1" outlineLevel="1" x14ac:dyDescent="0.25">
      <c r="B92" s="52" t="s">
        <v>291</v>
      </c>
      <c r="C92" s="56" t="s">
        <v>22</v>
      </c>
      <c r="D92" s="4"/>
      <c r="E92" s="4"/>
      <c r="F92" s="4"/>
      <c r="G92" s="172">
        <f t="shared" si="247"/>
        <v>0</v>
      </c>
      <c r="H92" s="282">
        <f t="shared" si="248"/>
        <v>0</v>
      </c>
      <c r="I92" s="4"/>
      <c r="J92" s="172">
        <f t="shared" si="249"/>
        <v>0</v>
      </c>
      <c r="K92" s="282">
        <f t="shared" si="250"/>
        <v>0</v>
      </c>
      <c r="L92" s="4"/>
      <c r="M92" s="172">
        <f t="shared" si="251"/>
        <v>0</v>
      </c>
      <c r="N92" s="282">
        <f t="shared" si="252"/>
        <v>0</v>
      </c>
      <c r="O92" s="4">
        <f>'Ενεργοί πελάτες'!O94</f>
        <v>0</v>
      </c>
      <c r="P92" s="158"/>
      <c r="Q92" s="283"/>
      <c r="R92" s="4">
        <f>'Ενεργοί πελάτες'!R94</f>
        <v>55</v>
      </c>
      <c r="S92" s="172">
        <f t="shared" si="253"/>
        <v>55</v>
      </c>
      <c r="T92" s="282">
        <f t="shared" si="254"/>
        <v>0</v>
      </c>
      <c r="U92" s="181">
        <f t="shared" si="255"/>
        <v>55</v>
      </c>
      <c r="V92" s="192">
        <f t="shared" si="256"/>
        <v>0</v>
      </c>
      <c r="X92" s="172">
        <f t="shared" si="269"/>
        <v>112</v>
      </c>
      <c r="Y92" s="4"/>
      <c r="Z92" s="285">
        <f>'Ανάλυση για νέους πελάτες'!D61</f>
        <v>112</v>
      </c>
      <c r="AA92" s="172">
        <f t="shared" si="257"/>
        <v>167</v>
      </c>
      <c r="AB92" s="282">
        <f t="shared" si="258"/>
        <v>2.0363636363636362</v>
      </c>
      <c r="AC92" s="172">
        <f t="shared" si="270"/>
        <v>22</v>
      </c>
      <c r="AD92" s="4">
        <f>'Ανάλυση για νέους πελάτες'!E61</f>
        <v>22</v>
      </c>
      <c r="AE92" s="4"/>
      <c r="AF92" s="172">
        <f t="shared" si="259"/>
        <v>189</v>
      </c>
      <c r="AG92" s="284">
        <f t="shared" si="260"/>
        <v>0.1317365269461078</v>
      </c>
      <c r="AH92" s="172">
        <f t="shared" si="273"/>
        <v>4</v>
      </c>
      <c r="AI92" s="4">
        <f>'Ανάλυση για νέους πελάτες'!F61</f>
        <v>4</v>
      </c>
      <c r="AJ92" s="4"/>
      <c r="AK92" s="172">
        <f t="shared" si="261"/>
        <v>193</v>
      </c>
      <c r="AL92" s="284">
        <f t="shared" si="262"/>
        <v>2.1164021164021163E-2</v>
      </c>
      <c r="AM92" s="172">
        <f t="shared" si="271"/>
        <v>5</v>
      </c>
      <c r="AN92" s="4">
        <f>'Ανάλυση για νέους πελάτες'!G61</f>
        <v>5</v>
      </c>
      <c r="AO92" s="317"/>
      <c r="AP92" s="172">
        <f t="shared" si="263"/>
        <v>198</v>
      </c>
      <c r="AQ92" s="284">
        <f t="shared" si="264"/>
        <v>2.5906735751295335E-2</v>
      </c>
      <c r="AR92" s="172">
        <f t="shared" si="272"/>
        <v>5</v>
      </c>
      <c r="AS92" s="4">
        <f>'Ανάλυση για νέους πελάτες'!G61</f>
        <v>5</v>
      </c>
      <c r="AT92" s="4"/>
      <c r="AU92" s="172">
        <f t="shared" si="265"/>
        <v>203</v>
      </c>
      <c r="AV92" s="284">
        <f t="shared" si="266"/>
        <v>2.5252525252525252E-2</v>
      </c>
      <c r="AW92" s="181">
        <f t="shared" si="267"/>
        <v>148</v>
      </c>
      <c r="AX92" s="192">
        <f t="shared" si="268"/>
        <v>5.0013521448228238E-2</v>
      </c>
    </row>
    <row r="93" spans="1:50" s="3" customFormat="1" ht="16.5" customHeight="1" outlineLevel="1" x14ac:dyDescent="0.25">
      <c r="B93" s="52" t="s">
        <v>307</v>
      </c>
      <c r="C93" s="56" t="s">
        <v>22</v>
      </c>
      <c r="D93" s="4"/>
      <c r="E93" s="4"/>
      <c r="F93" s="4"/>
      <c r="G93" s="172"/>
      <c r="H93" s="282">
        <f t="shared" si="248"/>
        <v>0</v>
      </c>
      <c r="I93" s="4"/>
      <c r="J93" s="172"/>
      <c r="K93" s="282">
        <f t="shared" si="250"/>
        <v>0</v>
      </c>
      <c r="L93" s="4"/>
      <c r="M93" s="172"/>
      <c r="N93" s="282">
        <f t="shared" si="252"/>
        <v>0</v>
      </c>
      <c r="O93" s="4"/>
      <c r="P93" s="158"/>
      <c r="Q93" s="283"/>
      <c r="R93" s="4"/>
      <c r="S93" s="172"/>
      <c r="T93" s="282">
        <f t="shared" si="254"/>
        <v>0</v>
      </c>
      <c r="U93" s="181">
        <f t="shared" si="255"/>
        <v>0</v>
      </c>
      <c r="V93" s="192">
        <f t="shared" si="256"/>
        <v>0</v>
      </c>
      <c r="X93" s="172">
        <f t="shared" ref="X93:X97" si="274">Y93+Z93</f>
        <v>6</v>
      </c>
      <c r="Y93" s="4"/>
      <c r="Z93" s="285">
        <f>'Ανάλυση για νέους πελάτες'!D62</f>
        <v>6</v>
      </c>
      <c r="AA93" s="172">
        <f t="shared" ref="AA93:AA97" si="275">S93+X93</f>
        <v>6</v>
      </c>
      <c r="AB93" s="282">
        <f t="shared" ref="AB93:AB97" si="276">IFERROR((AA93-S93)/S93,0)</f>
        <v>0</v>
      </c>
      <c r="AC93" s="172">
        <f t="shared" ref="AC93:AC97" si="277">AD93+AE93</f>
        <v>7</v>
      </c>
      <c r="AD93" s="4">
        <f>'Ανάλυση για νέους πελάτες'!E62</f>
        <v>7</v>
      </c>
      <c r="AE93" s="4"/>
      <c r="AF93" s="172">
        <f t="shared" ref="AF93:AF97" si="278">AA93+AC93</f>
        <v>13</v>
      </c>
      <c r="AG93" s="284">
        <f t="shared" ref="AG93:AG97" si="279">IFERROR((AF93-AA93)/AA93,0)</f>
        <v>1.1666666666666667</v>
      </c>
      <c r="AH93" s="172">
        <f t="shared" ref="AH93:AH97" si="280">AI93+AJ93</f>
        <v>8</v>
      </c>
      <c r="AI93" s="4">
        <f>'Ανάλυση για νέους πελάτες'!F62</f>
        <v>8</v>
      </c>
      <c r="AJ93" s="4"/>
      <c r="AK93" s="172">
        <f t="shared" ref="AK93:AK97" si="281">AF93+AH93</f>
        <v>21</v>
      </c>
      <c r="AL93" s="284">
        <f t="shared" ref="AL93:AL97" si="282">IFERROR((AK93-AF93)/AF93,0)</f>
        <v>0.61538461538461542</v>
      </c>
      <c r="AM93" s="172">
        <f t="shared" ref="AM93:AM97" si="283">AN93+AO93</f>
        <v>4</v>
      </c>
      <c r="AN93" s="4">
        <f>'Ανάλυση για νέους πελάτες'!G62</f>
        <v>4</v>
      </c>
      <c r="AO93" s="317"/>
      <c r="AP93" s="172">
        <f t="shared" ref="AP93:AP97" si="284">AK93+AM93</f>
        <v>25</v>
      </c>
      <c r="AQ93" s="284">
        <f t="shared" ref="AQ93:AQ97" si="285">IFERROR((AP93-AK93)/AK93,0)</f>
        <v>0.19047619047619047</v>
      </c>
      <c r="AR93" s="172">
        <f t="shared" ref="AR93:AR97" si="286">AS93+AT93</f>
        <v>4</v>
      </c>
      <c r="AS93" s="4">
        <f>'Ανάλυση για νέους πελάτες'!G62</f>
        <v>4</v>
      </c>
      <c r="AT93" s="4"/>
      <c r="AU93" s="172">
        <f t="shared" ref="AU93:AU97" si="287">AP93+AR93</f>
        <v>29</v>
      </c>
      <c r="AV93" s="284">
        <f t="shared" ref="AV93:AV97" si="288">IFERROR((AU93-AP93)/AP93,0)</f>
        <v>0.16</v>
      </c>
      <c r="AW93" s="181">
        <f t="shared" ref="AW93:AW97" si="289">X93+AC93+AH93+AM93+AR93</f>
        <v>29</v>
      </c>
      <c r="AX93" s="192">
        <f t="shared" si="268"/>
        <v>0.48272867591438318</v>
      </c>
    </row>
    <row r="94" spans="1:50" s="3" customFormat="1" ht="16.5" customHeight="1" outlineLevel="1" x14ac:dyDescent="0.25">
      <c r="B94" s="52" t="s">
        <v>304</v>
      </c>
      <c r="C94" s="56" t="s">
        <v>22</v>
      </c>
      <c r="D94" s="4"/>
      <c r="E94" s="4"/>
      <c r="F94" s="4"/>
      <c r="G94" s="172"/>
      <c r="H94" s="282">
        <f t="shared" si="248"/>
        <v>0</v>
      </c>
      <c r="I94" s="4"/>
      <c r="J94" s="172"/>
      <c r="K94" s="282">
        <f t="shared" si="250"/>
        <v>0</v>
      </c>
      <c r="L94" s="4"/>
      <c r="M94" s="172"/>
      <c r="N94" s="282">
        <f t="shared" si="252"/>
        <v>0</v>
      </c>
      <c r="O94" s="4"/>
      <c r="P94" s="158"/>
      <c r="Q94" s="283"/>
      <c r="R94" s="4"/>
      <c r="S94" s="172"/>
      <c r="T94" s="282">
        <f t="shared" si="254"/>
        <v>0</v>
      </c>
      <c r="U94" s="181">
        <f t="shared" si="255"/>
        <v>0</v>
      </c>
      <c r="V94" s="192">
        <f t="shared" si="256"/>
        <v>0</v>
      </c>
      <c r="X94" s="172">
        <f t="shared" si="274"/>
        <v>10</v>
      </c>
      <c r="Y94" s="4"/>
      <c r="Z94" s="285">
        <f>'Ανάλυση για νέους πελάτες'!D63</f>
        <v>10</v>
      </c>
      <c r="AA94" s="172">
        <f t="shared" si="275"/>
        <v>10</v>
      </c>
      <c r="AB94" s="282">
        <f t="shared" si="276"/>
        <v>0</v>
      </c>
      <c r="AC94" s="172">
        <f t="shared" si="277"/>
        <v>7</v>
      </c>
      <c r="AD94" s="4">
        <f>'Ανάλυση για νέους πελάτες'!E63</f>
        <v>7</v>
      </c>
      <c r="AE94" s="4"/>
      <c r="AF94" s="172">
        <f t="shared" si="278"/>
        <v>17</v>
      </c>
      <c r="AG94" s="284">
        <f t="shared" si="279"/>
        <v>0.7</v>
      </c>
      <c r="AH94" s="172">
        <f t="shared" si="280"/>
        <v>8</v>
      </c>
      <c r="AI94" s="4">
        <f>'Ανάλυση για νέους πελάτες'!F63</f>
        <v>8</v>
      </c>
      <c r="AJ94" s="4"/>
      <c r="AK94" s="172">
        <f t="shared" si="281"/>
        <v>25</v>
      </c>
      <c r="AL94" s="284">
        <f t="shared" si="282"/>
        <v>0.47058823529411764</v>
      </c>
      <c r="AM94" s="172">
        <f t="shared" si="283"/>
        <v>4</v>
      </c>
      <c r="AN94" s="4">
        <f>'Ανάλυση για νέους πελάτες'!G63</f>
        <v>4</v>
      </c>
      <c r="AO94" s="317"/>
      <c r="AP94" s="172">
        <f t="shared" si="284"/>
        <v>29</v>
      </c>
      <c r="AQ94" s="284">
        <f t="shared" si="285"/>
        <v>0.16</v>
      </c>
      <c r="AR94" s="172">
        <f t="shared" si="286"/>
        <v>4</v>
      </c>
      <c r="AS94" s="4">
        <f>'Ανάλυση για νέους πελάτες'!G63</f>
        <v>4</v>
      </c>
      <c r="AT94" s="4"/>
      <c r="AU94" s="172">
        <f t="shared" si="287"/>
        <v>33</v>
      </c>
      <c r="AV94" s="284">
        <f t="shared" si="288"/>
        <v>0.13793103448275862</v>
      </c>
      <c r="AW94" s="181">
        <f t="shared" si="289"/>
        <v>33</v>
      </c>
      <c r="AX94" s="192">
        <f t="shared" si="268"/>
        <v>0.34780941251294695</v>
      </c>
    </row>
    <row r="95" spans="1:50" s="3" customFormat="1" ht="16.5" customHeight="1" outlineLevel="1" x14ac:dyDescent="0.25">
      <c r="B95" s="52" t="s">
        <v>305</v>
      </c>
      <c r="C95" s="56" t="s">
        <v>22</v>
      </c>
      <c r="D95" s="4"/>
      <c r="E95" s="4"/>
      <c r="F95" s="4"/>
      <c r="G95" s="172"/>
      <c r="H95" s="282">
        <f t="shared" si="248"/>
        <v>0</v>
      </c>
      <c r="I95" s="4"/>
      <c r="J95" s="172"/>
      <c r="K95" s="282">
        <f t="shared" si="250"/>
        <v>0</v>
      </c>
      <c r="L95" s="4"/>
      <c r="M95" s="172"/>
      <c r="N95" s="282">
        <f t="shared" si="252"/>
        <v>0</v>
      </c>
      <c r="O95" s="4"/>
      <c r="P95" s="158"/>
      <c r="Q95" s="283"/>
      <c r="R95" s="4"/>
      <c r="S95" s="172"/>
      <c r="T95" s="282">
        <f t="shared" si="254"/>
        <v>0</v>
      </c>
      <c r="U95" s="181">
        <f t="shared" si="255"/>
        <v>0</v>
      </c>
      <c r="V95" s="192">
        <f t="shared" si="256"/>
        <v>0</v>
      </c>
      <c r="X95" s="172">
        <f t="shared" si="274"/>
        <v>7</v>
      </c>
      <c r="Y95" s="4"/>
      <c r="Z95" s="285">
        <f>'Ανάλυση για νέους πελάτες'!D64</f>
        <v>7</v>
      </c>
      <c r="AA95" s="172">
        <f t="shared" si="275"/>
        <v>7</v>
      </c>
      <c r="AB95" s="282">
        <f t="shared" si="276"/>
        <v>0</v>
      </c>
      <c r="AC95" s="172">
        <f t="shared" si="277"/>
        <v>7</v>
      </c>
      <c r="AD95" s="4">
        <f>'Ανάλυση για νέους πελάτες'!E64</f>
        <v>7</v>
      </c>
      <c r="AE95" s="4"/>
      <c r="AF95" s="172">
        <f t="shared" si="278"/>
        <v>14</v>
      </c>
      <c r="AG95" s="284">
        <f t="shared" si="279"/>
        <v>1</v>
      </c>
      <c r="AH95" s="172">
        <f t="shared" si="280"/>
        <v>8</v>
      </c>
      <c r="AI95" s="4">
        <f>'Ανάλυση για νέους πελάτες'!F64</f>
        <v>8</v>
      </c>
      <c r="AJ95" s="4"/>
      <c r="AK95" s="172">
        <f t="shared" si="281"/>
        <v>22</v>
      </c>
      <c r="AL95" s="284">
        <f t="shared" si="282"/>
        <v>0.5714285714285714</v>
      </c>
      <c r="AM95" s="172">
        <f t="shared" si="283"/>
        <v>4</v>
      </c>
      <c r="AN95" s="4">
        <f>'Ανάλυση για νέους πελάτες'!G64</f>
        <v>4</v>
      </c>
      <c r="AO95" s="317"/>
      <c r="AP95" s="172">
        <f t="shared" si="284"/>
        <v>26</v>
      </c>
      <c r="AQ95" s="284">
        <f t="shared" si="285"/>
        <v>0.18181818181818182</v>
      </c>
      <c r="AR95" s="172">
        <f t="shared" si="286"/>
        <v>4</v>
      </c>
      <c r="AS95" s="4">
        <f>'Ανάλυση για νέους πελάτες'!G64</f>
        <v>4</v>
      </c>
      <c r="AT95" s="4"/>
      <c r="AU95" s="172">
        <f t="shared" si="287"/>
        <v>30</v>
      </c>
      <c r="AV95" s="284">
        <f t="shared" si="288"/>
        <v>0.15384615384615385</v>
      </c>
      <c r="AW95" s="181">
        <f t="shared" si="289"/>
        <v>30</v>
      </c>
      <c r="AX95" s="192">
        <f t="shared" si="268"/>
        <v>0.43881780570962592</v>
      </c>
    </row>
    <row r="96" spans="1:50" s="3" customFormat="1" ht="16.5" customHeight="1" outlineLevel="1" x14ac:dyDescent="0.25">
      <c r="B96" s="52" t="s">
        <v>306</v>
      </c>
      <c r="C96" s="56" t="s">
        <v>22</v>
      </c>
      <c r="D96" s="4"/>
      <c r="E96" s="4"/>
      <c r="F96" s="4"/>
      <c r="G96" s="172"/>
      <c r="H96" s="282">
        <f t="shared" si="248"/>
        <v>0</v>
      </c>
      <c r="I96" s="4"/>
      <c r="J96" s="172"/>
      <c r="K96" s="282">
        <f t="shared" si="250"/>
        <v>0</v>
      </c>
      <c r="L96" s="4"/>
      <c r="M96" s="172"/>
      <c r="N96" s="282">
        <f t="shared" si="252"/>
        <v>0</v>
      </c>
      <c r="O96" s="4"/>
      <c r="P96" s="158"/>
      <c r="Q96" s="283"/>
      <c r="R96" s="4"/>
      <c r="S96" s="172"/>
      <c r="T96" s="282">
        <f t="shared" si="254"/>
        <v>0</v>
      </c>
      <c r="U96" s="181">
        <f t="shared" si="255"/>
        <v>0</v>
      </c>
      <c r="V96" s="192">
        <f t="shared" si="256"/>
        <v>0</v>
      </c>
      <c r="X96" s="172">
        <f t="shared" si="274"/>
        <v>40</v>
      </c>
      <c r="Y96" s="4"/>
      <c r="Z96" s="285">
        <f>'Ανάλυση για νέους πελάτες'!D65</f>
        <v>40</v>
      </c>
      <c r="AA96" s="172">
        <f t="shared" si="275"/>
        <v>40</v>
      </c>
      <c r="AB96" s="282">
        <f t="shared" si="276"/>
        <v>0</v>
      </c>
      <c r="AC96" s="172">
        <f t="shared" si="277"/>
        <v>45</v>
      </c>
      <c r="AD96" s="4">
        <f>'Ανάλυση για νέους πελάτες'!E65</f>
        <v>45</v>
      </c>
      <c r="AE96" s="4"/>
      <c r="AF96" s="172">
        <f t="shared" si="278"/>
        <v>85</v>
      </c>
      <c r="AG96" s="284">
        <f t="shared" si="279"/>
        <v>1.125</v>
      </c>
      <c r="AH96" s="172">
        <f t="shared" si="280"/>
        <v>36</v>
      </c>
      <c r="AI96" s="4">
        <f>'Ανάλυση για νέους πελάτες'!F65</f>
        <v>36</v>
      </c>
      <c r="AJ96" s="4"/>
      <c r="AK96" s="172">
        <f t="shared" si="281"/>
        <v>121</v>
      </c>
      <c r="AL96" s="284">
        <f t="shared" si="282"/>
        <v>0.42352941176470588</v>
      </c>
      <c r="AM96" s="172">
        <f t="shared" si="283"/>
        <v>20</v>
      </c>
      <c r="AN96" s="4">
        <f>'Ανάλυση για νέους πελάτες'!G65</f>
        <v>20</v>
      </c>
      <c r="AO96" s="317"/>
      <c r="AP96" s="172">
        <f t="shared" si="284"/>
        <v>141</v>
      </c>
      <c r="AQ96" s="284">
        <f t="shared" si="285"/>
        <v>0.16528925619834711</v>
      </c>
      <c r="AR96" s="172">
        <f t="shared" si="286"/>
        <v>20</v>
      </c>
      <c r="AS96" s="4">
        <f>'Ανάλυση για νέους πελάτες'!G65</f>
        <v>20</v>
      </c>
      <c r="AT96" s="4"/>
      <c r="AU96" s="172">
        <f t="shared" si="287"/>
        <v>161</v>
      </c>
      <c r="AV96" s="284">
        <f t="shared" si="288"/>
        <v>0.14184397163120568</v>
      </c>
      <c r="AW96" s="181">
        <f t="shared" si="289"/>
        <v>161</v>
      </c>
      <c r="AX96" s="192">
        <f t="shared" si="268"/>
        <v>0.41641811086059199</v>
      </c>
    </row>
    <row r="97" spans="1:50" s="3" customFormat="1" ht="16.5" customHeight="1" outlineLevel="1" x14ac:dyDescent="0.25">
      <c r="B97" s="52" t="s">
        <v>308</v>
      </c>
      <c r="C97" s="56" t="s">
        <v>22</v>
      </c>
      <c r="D97" s="4"/>
      <c r="E97" s="4"/>
      <c r="F97" s="4"/>
      <c r="G97" s="172"/>
      <c r="H97" s="282">
        <f t="shared" si="248"/>
        <v>0</v>
      </c>
      <c r="I97" s="4"/>
      <c r="J97" s="172"/>
      <c r="K97" s="282">
        <f t="shared" si="250"/>
        <v>0</v>
      </c>
      <c r="L97" s="4"/>
      <c r="M97" s="172"/>
      <c r="N97" s="282">
        <f t="shared" si="252"/>
        <v>0</v>
      </c>
      <c r="O97" s="4"/>
      <c r="P97" s="158"/>
      <c r="Q97" s="283"/>
      <c r="R97" s="4"/>
      <c r="S97" s="172"/>
      <c r="T97" s="282">
        <f t="shared" si="254"/>
        <v>0</v>
      </c>
      <c r="U97" s="181">
        <f t="shared" si="255"/>
        <v>0</v>
      </c>
      <c r="V97" s="192">
        <f t="shared" si="256"/>
        <v>0</v>
      </c>
      <c r="X97" s="172">
        <f t="shared" si="274"/>
        <v>28</v>
      </c>
      <c r="Y97" s="4"/>
      <c r="Z97" s="285">
        <f>'Ανάλυση για νέους πελάτες'!D66</f>
        <v>28</v>
      </c>
      <c r="AA97" s="172">
        <f t="shared" si="275"/>
        <v>28</v>
      </c>
      <c r="AB97" s="282">
        <f t="shared" si="276"/>
        <v>0</v>
      </c>
      <c r="AC97" s="172">
        <f t="shared" si="277"/>
        <v>49</v>
      </c>
      <c r="AD97" s="4">
        <f>'Ανάλυση για νέους πελάτες'!E66</f>
        <v>49</v>
      </c>
      <c r="AE97" s="4"/>
      <c r="AF97" s="172">
        <f t="shared" si="278"/>
        <v>77</v>
      </c>
      <c r="AG97" s="284">
        <f t="shared" si="279"/>
        <v>1.75</v>
      </c>
      <c r="AH97" s="172">
        <f t="shared" si="280"/>
        <v>49</v>
      </c>
      <c r="AI97" s="4">
        <f>'Ανάλυση για νέους πελάτες'!F66</f>
        <v>49</v>
      </c>
      <c r="AJ97" s="4"/>
      <c r="AK97" s="172">
        <f t="shared" si="281"/>
        <v>126</v>
      </c>
      <c r="AL97" s="284">
        <f t="shared" si="282"/>
        <v>0.63636363636363635</v>
      </c>
      <c r="AM97" s="172">
        <f t="shared" si="283"/>
        <v>35</v>
      </c>
      <c r="AN97" s="4">
        <f>'Ανάλυση για νέους πελάτες'!G66</f>
        <v>35</v>
      </c>
      <c r="AO97" s="317"/>
      <c r="AP97" s="172">
        <f t="shared" si="284"/>
        <v>161</v>
      </c>
      <c r="AQ97" s="284">
        <f t="shared" si="285"/>
        <v>0.27777777777777779</v>
      </c>
      <c r="AR97" s="172">
        <f t="shared" si="286"/>
        <v>35</v>
      </c>
      <c r="AS97" s="4">
        <f>'Ανάλυση για νέους πελάτες'!G66</f>
        <v>35</v>
      </c>
      <c r="AT97" s="4"/>
      <c r="AU97" s="172">
        <f t="shared" si="287"/>
        <v>196</v>
      </c>
      <c r="AV97" s="284">
        <f t="shared" si="288"/>
        <v>0.21739130434782608</v>
      </c>
      <c r="AW97" s="181">
        <f t="shared" si="289"/>
        <v>196</v>
      </c>
      <c r="AX97" s="192">
        <f t="shared" si="268"/>
        <v>0.62657656169778564</v>
      </c>
    </row>
    <row r="98" spans="1:50" s="3" customFormat="1" ht="16.5" customHeight="1" outlineLevel="1" x14ac:dyDescent="0.25">
      <c r="B98" s="52"/>
      <c r="C98" s="56"/>
      <c r="D98" s="4"/>
      <c r="E98" s="4"/>
      <c r="F98" s="4"/>
      <c r="G98" s="172"/>
      <c r="H98" s="282">
        <f t="shared" si="248"/>
        <v>0</v>
      </c>
      <c r="I98" s="4"/>
      <c r="J98" s="172"/>
      <c r="K98" s="282">
        <f t="shared" si="250"/>
        <v>0</v>
      </c>
      <c r="L98" s="4"/>
      <c r="M98" s="172"/>
      <c r="N98" s="282">
        <f t="shared" si="252"/>
        <v>0</v>
      </c>
      <c r="O98" s="4"/>
      <c r="P98" s="158"/>
      <c r="Q98" s="283"/>
      <c r="R98" s="4"/>
      <c r="S98" s="172"/>
      <c r="T98" s="282">
        <f t="shared" si="254"/>
        <v>0</v>
      </c>
      <c r="U98" s="181">
        <f t="shared" si="255"/>
        <v>0</v>
      </c>
      <c r="V98" s="192">
        <f t="shared" si="256"/>
        <v>0</v>
      </c>
      <c r="X98" s="172"/>
      <c r="Y98" s="4"/>
      <c r="Z98" s="285"/>
      <c r="AA98" s="172"/>
      <c r="AB98" s="282">
        <f t="shared" si="258"/>
        <v>0</v>
      </c>
      <c r="AC98" s="172"/>
      <c r="AD98" s="4"/>
      <c r="AE98" s="4"/>
      <c r="AF98" s="172"/>
      <c r="AG98" s="284">
        <f t="shared" si="260"/>
        <v>0</v>
      </c>
      <c r="AH98" s="172"/>
      <c r="AI98" s="4"/>
      <c r="AJ98" s="4"/>
      <c r="AK98" s="172"/>
      <c r="AL98" s="284">
        <f t="shared" si="262"/>
        <v>0</v>
      </c>
      <c r="AM98" s="172"/>
      <c r="AN98" s="4"/>
      <c r="AO98" s="317"/>
      <c r="AP98" s="172"/>
      <c r="AQ98" s="284">
        <f t="shared" si="264"/>
        <v>0</v>
      </c>
      <c r="AR98" s="172"/>
      <c r="AS98" s="4"/>
      <c r="AT98" s="4"/>
      <c r="AU98" s="172"/>
      <c r="AV98" s="284">
        <f t="shared" si="266"/>
        <v>0</v>
      </c>
      <c r="AW98" s="181"/>
      <c r="AX98" s="192">
        <f t="shared" si="268"/>
        <v>0</v>
      </c>
    </row>
    <row r="99" spans="1:50" s="3" customFormat="1" ht="15" customHeight="1" outlineLevel="1" x14ac:dyDescent="0.25">
      <c r="B99" s="404" t="s">
        <v>90</v>
      </c>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row>
    <row r="100" spans="1:50" s="3" customFormat="1" ht="15" customHeight="1" outlineLevel="1" x14ac:dyDescent="0.25">
      <c r="B100" s="52" t="s">
        <v>82</v>
      </c>
      <c r="C100" s="56" t="s">
        <v>22</v>
      </c>
      <c r="D100" s="172">
        <f>SUM(D84:D98)</f>
        <v>0</v>
      </c>
      <c r="E100" s="172">
        <f>SUM(E84:E98)</f>
        <v>0</v>
      </c>
      <c r="F100" s="172">
        <f>SUM(F84:F98)</f>
        <v>0</v>
      </c>
      <c r="G100" s="172">
        <f>SUM(G84:G98)</f>
        <v>0</v>
      </c>
      <c r="H100" s="282">
        <f>IFERROR((G100-E100)/E100,0)</f>
        <v>0</v>
      </c>
      <c r="I100" s="172">
        <f>SUM(I84:I98)</f>
        <v>0</v>
      </c>
      <c r="J100" s="172">
        <f>SUM(J84:J98)</f>
        <v>0</v>
      </c>
      <c r="K100" s="282">
        <f t="shared" ref="K100" si="290">IFERROR((J100-G100)/G100,0)</f>
        <v>0</v>
      </c>
      <c r="L100" s="172">
        <f>SUM(L84:L98)</f>
        <v>0</v>
      </c>
      <c r="M100" s="172">
        <f>SUM(M84:M98)</f>
        <v>0</v>
      </c>
      <c r="N100" s="282">
        <f t="shared" ref="N100" si="291">IFERROR((M100-J100)/J100,0)</f>
        <v>0</v>
      </c>
      <c r="O100" s="172">
        <f>SUM(O84:O98)</f>
        <v>4</v>
      </c>
      <c r="P100" s="172"/>
      <c r="Q100" s="282"/>
      <c r="R100" s="172">
        <f>SUM(R84:R98)</f>
        <v>59</v>
      </c>
      <c r="S100" s="172">
        <f>SUM(S84:S98)</f>
        <v>59</v>
      </c>
      <c r="T100" s="282">
        <f>IFERROR((S100-M100)/M100,0)</f>
        <v>0</v>
      </c>
      <c r="U100" s="181">
        <f>D100+F100+I100+L100+R100</f>
        <v>59</v>
      </c>
      <c r="V100" s="192">
        <f>IFERROR((S100/E100)^(1/4)-1,0)</f>
        <v>0</v>
      </c>
      <c r="X100" s="187">
        <f>SUM(X84:X98)</f>
        <v>813</v>
      </c>
      <c r="Y100" s="187">
        <f>SUM(Y84:Y98)</f>
        <v>29</v>
      </c>
      <c r="Z100" s="187">
        <f>SUM(Z84:Z98)</f>
        <v>784</v>
      </c>
      <c r="AA100" s="187">
        <f>SUM(AA84:AA98)</f>
        <v>872</v>
      </c>
      <c r="AB100" s="282">
        <f>IFERROR((AA100-S100)/S100,0)</f>
        <v>13.779661016949152</v>
      </c>
      <c r="AC100" s="187">
        <f>SUM(AC84:AC98)</f>
        <v>789</v>
      </c>
      <c r="AD100" s="187">
        <f>SUM(AD84:AD98)</f>
        <v>789</v>
      </c>
      <c r="AE100" s="187">
        <f>SUM(AE84:AE98)</f>
        <v>0</v>
      </c>
      <c r="AF100" s="187">
        <f>SUM(AF84:AF98)</f>
        <v>1661</v>
      </c>
      <c r="AG100" s="284">
        <f>IFERROR((AF100-AA100)/AA100,0)</f>
        <v>0.90481651376146788</v>
      </c>
      <c r="AH100" s="187">
        <f>SUM(AH84:AH98)</f>
        <v>295</v>
      </c>
      <c r="AI100" s="187">
        <f>SUM(AI84:AI98)</f>
        <v>295</v>
      </c>
      <c r="AJ100" s="187">
        <f>SUM(AJ84:AJ98)</f>
        <v>0</v>
      </c>
      <c r="AK100" s="187">
        <f>SUM(AK84:AK98)</f>
        <v>1956</v>
      </c>
      <c r="AL100" s="284">
        <f t="shared" ref="AL100" si="292">IFERROR((AK100-AF100)/AF100,0)</f>
        <v>0.17760385310054183</v>
      </c>
      <c r="AM100" s="187">
        <f>SUM(AM84:AM98)</f>
        <v>150</v>
      </c>
      <c r="AN100" s="187">
        <f>SUM(AN84:AN98)</f>
        <v>150</v>
      </c>
      <c r="AO100" s="187">
        <f>SUM(AO84:AO98)</f>
        <v>0</v>
      </c>
      <c r="AP100" s="187">
        <f>SUM(AP84:AP98)</f>
        <v>2106</v>
      </c>
      <c r="AQ100" s="284">
        <f t="shared" ref="AQ100" si="293">IFERROR((AP100-AK100)/AK100,0)</f>
        <v>7.6687116564417179E-2</v>
      </c>
      <c r="AR100" s="187">
        <f>SUM(AR84:AR98)</f>
        <v>150</v>
      </c>
      <c r="AS100" s="187">
        <f>SUM(AS84:AS98)</f>
        <v>150</v>
      </c>
      <c r="AT100" s="187">
        <f>SUM(AT84:AT98)</f>
        <v>0</v>
      </c>
      <c r="AU100" s="187">
        <f>SUM(AU84:AU98)</f>
        <v>2256</v>
      </c>
      <c r="AV100" s="284">
        <f t="shared" ref="AV100" si="294">IFERROR((AU100-AP100)/AP100,0)</f>
        <v>7.1225071225071226E-2</v>
      </c>
      <c r="AW100" s="187">
        <f>SUM(AW84:AW98)</f>
        <v>2197</v>
      </c>
      <c r="AX100" s="192">
        <f t="shared" ref="AX100" si="295">IFERROR((AU100/AA100)^(1/4)-1,0)</f>
        <v>0.26825228248753374</v>
      </c>
    </row>
    <row r="102" spans="1:50" ht="15.75" x14ac:dyDescent="0.25">
      <c r="B102" s="352" t="s">
        <v>207</v>
      </c>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row>
    <row r="103" spans="1:50" ht="5.45" customHeight="1" outlineLevel="1" x14ac:dyDescent="0.2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row>
    <row r="104" spans="1:50" outlineLevel="1" x14ac:dyDescent="0.25">
      <c r="B104" s="393"/>
      <c r="C104" s="385" t="s">
        <v>20</v>
      </c>
      <c r="D104" s="372" t="s">
        <v>262</v>
      </c>
      <c r="E104" s="373"/>
      <c r="F104" s="373"/>
      <c r="G104" s="373"/>
      <c r="H104" s="373"/>
      <c r="I104" s="373"/>
      <c r="J104" s="373"/>
      <c r="K104" s="373"/>
      <c r="L104" s="373"/>
      <c r="M104" s="373"/>
      <c r="N104" s="373"/>
      <c r="O104" s="373"/>
      <c r="P104" s="373"/>
      <c r="Q104" s="374"/>
      <c r="R104" s="372" t="s">
        <v>260</v>
      </c>
      <c r="S104" s="373"/>
      <c r="T104" s="374"/>
      <c r="U104" s="388" t="str">
        <f xml:space="preserve"> D105&amp;" - "&amp;R105</f>
        <v>2018 - 2022</v>
      </c>
      <c r="V104" s="398"/>
      <c r="X104" s="372" t="s">
        <v>261</v>
      </c>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4"/>
    </row>
    <row r="105" spans="1:50" outlineLevel="1" x14ac:dyDescent="0.25">
      <c r="B105" s="394"/>
      <c r="C105" s="386"/>
      <c r="D105" s="372">
        <f>$C$3-5</f>
        <v>2018</v>
      </c>
      <c r="E105" s="374"/>
      <c r="F105" s="372">
        <f>$C$3-4</f>
        <v>2019</v>
      </c>
      <c r="G105" s="373"/>
      <c r="H105" s="374"/>
      <c r="I105" s="372">
        <f>$C$3-3</f>
        <v>2020</v>
      </c>
      <c r="J105" s="373"/>
      <c r="K105" s="374"/>
      <c r="L105" s="372">
        <f>$C$3-2</f>
        <v>2021</v>
      </c>
      <c r="M105" s="373"/>
      <c r="N105" s="374"/>
      <c r="O105" s="372" t="str">
        <f>$C$3-1&amp;""&amp;" ("&amp;"Σεπτ"&amp;")"</f>
        <v>2022 (Σεπτ)</v>
      </c>
      <c r="P105" s="373"/>
      <c r="Q105" s="374"/>
      <c r="R105" s="372">
        <f>$C$3-1</f>
        <v>2022</v>
      </c>
      <c r="S105" s="373"/>
      <c r="T105" s="374"/>
      <c r="U105" s="390"/>
      <c r="V105" s="399"/>
      <c r="X105" s="372">
        <f>$C$3</f>
        <v>2023</v>
      </c>
      <c r="Y105" s="373"/>
      <c r="Z105" s="373"/>
      <c r="AA105" s="373"/>
      <c r="AB105" s="374"/>
      <c r="AC105" s="372">
        <f>$C$3+1</f>
        <v>2024</v>
      </c>
      <c r="AD105" s="373"/>
      <c r="AE105" s="373"/>
      <c r="AF105" s="373"/>
      <c r="AG105" s="374"/>
      <c r="AH105" s="372">
        <f>$C$3+2</f>
        <v>2025</v>
      </c>
      <c r="AI105" s="373"/>
      <c r="AJ105" s="373"/>
      <c r="AK105" s="373"/>
      <c r="AL105" s="374"/>
      <c r="AM105" s="372">
        <f>$C$3+3</f>
        <v>2026</v>
      </c>
      <c r="AN105" s="373"/>
      <c r="AO105" s="373"/>
      <c r="AP105" s="373"/>
      <c r="AQ105" s="374"/>
      <c r="AR105" s="372">
        <f>$C$3+4</f>
        <v>2027</v>
      </c>
      <c r="AS105" s="373"/>
      <c r="AT105" s="373"/>
      <c r="AU105" s="373"/>
      <c r="AV105" s="374"/>
      <c r="AW105" s="376" t="str">
        <f>X105&amp;" - "&amp;AR105</f>
        <v>2023 - 2027</v>
      </c>
      <c r="AX105" s="392"/>
    </row>
    <row r="106" spans="1:50" ht="45" outlineLevel="1" x14ac:dyDescent="0.25">
      <c r="B106" s="395"/>
      <c r="C106" s="387"/>
      <c r="D106" s="67" t="s">
        <v>6</v>
      </c>
      <c r="E106" s="68" t="s">
        <v>7</v>
      </c>
      <c r="F106" s="67" t="s">
        <v>6</v>
      </c>
      <c r="G106" s="9" t="s">
        <v>7</v>
      </c>
      <c r="H106" s="68" t="s">
        <v>81</v>
      </c>
      <c r="I106" s="67" t="s">
        <v>6</v>
      </c>
      <c r="J106" s="9" t="s">
        <v>7</v>
      </c>
      <c r="K106" s="68" t="s">
        <v>81</v>
      </c>
      <c r="L106" s="67" t="s">
        <v>6</v>
      </c>
      <c r="M106" s="9" t="s">
        <v>7</v>
      </c>
      <c r="N106" s="68" t="s">
        <v>81</v>
      </c>
      <c r="O106" s="67" t="s">
        <v>6</v>
      </c>
      <c r="P106" s="9" t="s">
        <v>7</v>
      </c>
      <c r="Q106" s="68" t="s">
        <v>81</v>
      </c>
      <c r="R106" s="67" t="s">
        <v>6</v>
      </c>
      <c r="S106" s="9" t="s">
        <v>7</v>
      </c>
      <c r="T106" s="68" t="s">
        <v>81</v>
      </c>
      <c r="U106" s="67" t="s">
        <v>17</v>
      </c>
      <c r="V106" s="132" t="s">
        <v>83</v>
      </c>
      <c r="X106" s="67" t="s">
        <v>6</v>
      </c>
      <c r="Y106" s="117" t="s">
        <v>88</v>
      </c>
      <c r="Z106" s="117" t="s">
        <v>89</v>
      </c>
      <c r="AA106" s="9" t="s">
        <v>7</v>
      </c>
      <c r="AB106" s="68" t="s">
        <v>81</v>
      </c>
      <c r="AC106" s="67" t="s">
        <v>6</v>
      </c>
      <c r="AD106" s="117" t="s">
        <v>88</v>
      </c>
      <c r="AE106" s="117" t="s">
        <v>89</v>
      </c>
      <c r="AF106" s="9" t="s">
        <v>7</v>
      </c>
      <c r="AG106" s="68" t="s">
        <v>81</v>
      </c>
      <c r="AH106" s="67" t="s">
        <v>6</v>
      </c>
      <c r="AI106" s="117" t="s">
        <v>88</v>
      </c>
      <c r="AJ106" s="117" t="s">
        <v>89</v>
      </c>
      <c r="AK106" s="9" t="s">
        <v>7</v>
      </c>
      <c r="AL106" s="68" t="s">
        <v>81</v>
      </c>
      <c r="AM106" s="67" t="s">
        <v>6</v>
      </c>
      <c r="AN106" s="117" t="s">
        <v>88</v>
      </c>
      <c r="AO106" s="117" t="s">
        <v>89</v>
      </c>
      <c r="AP106" s="9" t="s">
        <v>7</v>
      </c>
      <c r="AQ106" s="68" t="s">
        <v>81</v>
      </c>
      <c r="AR106" s="67" t="s">
        <v>6</v>
      </c>
      <c r="AS106" s="117" t="s">
        <v>88</v>
      </c>
      <c r="AT106" s="117" t="s">
        <v>89</v>
      </c>
      <c r="AU106" s="9" t="s">
        <v>7</v>
      </c>
      <c r="AV106" s="68" t="s">
        <v>81</v>
      </c>
      <c r="AW106" s="67" t="s">
        <v>17</v>
      </c>
      <c r="AX106" s="132" t="s">
        <v>83</v>
      </c>
    </row>
    <row r="107" spans="1:50" s="3" customFormat="1" outlineLevel="1" x14ac:dyDescent="0.25">
      <c r="B107" s="52" t="s">
        <v>283</v>
      </c>
      <c r="C107" s="56" t="s">
        <v>22</v>
      </c>
      <c r="D107" s="4"/>
      <c r="E107" s="4"/>
      <c r="F107" s="4"/>
      <c r="G107" s="172">
        <f t="shared" ref="G107:G115" si="296">E107+F107</f>
        <v>0</v>
      </c>
      <c r="H107" s="282">
        <f t="shared" ref="H107:H121" si="297">IFERROR((G107-E107)/E107,0)</f>
        <v>0</v>
      </c>
      <c r="I107" s="4"/>
      <c r="J107" s="172">
        <f t="shared" ref="J107:J115" si="298">G107+I107</f>
        <v>0</v>
      </c>
      <c r="K107" s="282">
        <f t="shared" ref="K107:K121" si="299">IFERROR((J107-G107)/G107,0)</f>
        <v>0</v>
      </c>
      <c r="L107" s="4"/>
      <c r="M107" s="172">
        <f t="shared" ref="M107:M115" si="300">J107+L107</f>
        <v>0</v>
      </c>
      <c r="N107" s="282">
        <f t="shared" ref="N107:N121" si="301">IFERROR((M107-J107)/J107,0)</f>
        <v>0</v>
      </c>
      <c r="O107" s="4"/>
      <c r="P107" s="158"/>
      <c r="Q107" s="283"/>
      <c r="R107" s="4"/>
      <c r="S107" s="172">
        <f t="shared" ref="S107:S115" si="302">M107+R107</f>
        <v>0</v>
      </c>
      <c r="T107" s="282">
        <f t="shared" ref="T107:T121" si="303">IFERROR((S107-M107)/M107,0)</f>
        <v>0</v>
      </c>
      <c r="U107" s="181">
        <f t="shared" ref="U107:U121" si="304">D107+F107+I107+L107+R107</f>
        <v>0</v>
      </c>
      <c r="V107" s="192">
        <f t="shared" ref="V107:V121" si="305">IFERROR((S107/E107)^(1/4)-1,0)</f>
        <v>0</v>
      </c>
      <c r="X107" s="172">
        <f>Y107+Z107</f>
        <v>2</v>
      </c>
      <c r="Y107" s="4">
        <f>'Ανάλυση για νέους πελάτες'!D73</f>
        <v>2</v>
      </c>
      <c r="Z107" s="4"/>
      <c r="AA107" s="172">
        <f t="shared" ref="AA107:AA115" si="306">S107+X107</f>
        <v>2</v>
      </c>
      <c r="AB107" s="282">
        <f t="shared" ref="AB107:AB121" si="307">IFERROR((AA107-S107)/S107,0)</f>
        <v>0</v>
      </c>
      <c r="AC107" s="172">
        <f>AD107+AE107</f>
        <v>2</v>
      </c>
      <c r="AD107" s="4">
        <f>'Ανάλυση για νέους πελάτες'!E73</f>
        <v>2</v>
      </c>
      <c r="AE107" s="4"/>
      <c r="AF107" s="172">
        <f t="shared" ref="AF107:AF115" si="308">AA107+AC107</f>
        <v>4</v>
      </c>
      <c r="AG107" s="284">
        <f t="shared" ref="AG107:AG121" si="309">IFERROR((AF107-AA107)/AA107,0)</f>
        <v>1</v>
      </c>
      <c r="AH107" s="172">
        <f>AI107+AJ107</f>
        <v>0</v>
      </c>
      <c r="AI107" s="4">
        <f>'Ανάλυση για νέους πελάτες'!F73</f>
        <v>0</v>
      </c>
      <c r="AJ107" s="4"/>
      <c r="AK107" s="172">
        <f t="shared" ref="AK107:AK115" si="310">AF107+AH107</f>
        <v>4</v>
      </c>
      <c r="AL107" s="284">
        <f t="shared" ref="AL107:AL121" si="311">IFERROR((AK107-AF107)/AF107,0)</f>
        <v>0</v>
      </c>
      <c r="AM107" s="172">
        <f>AN107+AO107</f>
        <v>0</v>
      </c>
      <c r="AN107" s="4">
        <f>'Ανάλυση για νέους πελάτες'!G73</f>
        <v>0</v>
      </c>
      <c r="AO107" s="4"/>
      <c r="AP107" s="172">
        <f t="shared" ref="AP107:AP115" si="312">AK107+AM107</f>
        <v>4</v>
      </c>
      <c r="AQ107" s="284">
        <f t="shared" ref="AQ107:AQ121" si="313">IFERROR((AP107-AK107)/AK107,0)</f>
        <v>0</v>
      </c>
      <c r="AR107" s="172">
        <f>AS107+AT107</f>
        <v>0</v>
      </c>
      <c r="AS107" s="4">
        <f>'Ανάλυση για νέους πελάτες'!H73</f>
        <v>0</v>
      </c>
      <c r="AT107" s="4"/>
      <c r="AU107" s="172">
        <f t="shared" ref="AU107:AU115" si="314">AP107+AR107</f>
        <v>4</v>
      </c>
      <c r="AV107" s="284">
        <f t="shared" ref="AV107:AV121" si="315">IFERROR((AU107-AP107)/AP107,0)</f>
        <v>0</v>
      </c>
      <c r="AW107" s="181">
        <f t="shared" ref="AW107:AW115" si="316">X107+AC107+AH107+AM107+AR107</f>
        <v>4</v>
      </c>
      <c r="AX107" s="192">
        <f t="shared" ref="AX107:AX121" si="317">IFERROR((AU107/AA107)^(1/4)-1,0)</f>
        <v>0.18920711500272103</v>
      </c>
    </row>
    <row r="108" spans="1:50" s="290" customFormat="1" outlineLevel="1" x14ac:dyDescent="0.25">
      <c r="A108" s="3"/>
      <c r="B108" s="52" t="s">
        <v>284</v>
      </c>
      <c r="C108" s="56" t="s">
        <v>22</v>
      </c>
      <c r="D108" s="285"/>
      <c r="E108" s="285"/>
      <c r="F108" s="285"/>
      <c r="G108" s="172">
        <f t="shared" si="296"/>
        <v>0</v>
      </c>
      <c r="H108" s="282">
        <f t="shared" si="297"/>
        <v>0</v>
      </c>
      <c r="I108" s="285"/>
      <c r="J108" s="172">
        <f t="shared" si="298"/>
        <v>0</v>
      </c>
      <c r="K108" s="282">
        <f t="shared" si="299"/>
        <v>0</v>
      </c>
      <c r="L108" s="285"/>
      <c r="M108" s="172">
        <f t="shared" si="300"/>
        <v>0</v>
      </c>
      <c r="N108" s="282">
        <f t="shared" si="301"/>
        <v>0</v>
      </c>
      <c r="O108" s="285"/>
      <c r="P108" s="287"/>
      <c r="Q108" s="288"/>
      <c r="R108" s="285"/>
      <c r="S108" s="172">
        <f t="shared" si="302"/>
        <v>0</v>
      </c>
      <c r="T108" s="286">
        <f t="shared" si="303"/>
        <v>0</v>
      </c>
      <c r="U108" s="181">
        <f t="shared" si="304"/>
        <v>0</v>
      </c>
      <c r="V108" s="289">
        <f t="shared" si="305"/>
        <v>0</v>
      </c>
      <c r="W108" s="3"/>
      <c r="X108" s="172">
        <f t="shared" ref="X108:X115" si="318">Y108+Z108</f>
        <v>17</v>
      </c>
      <c r="Y108" s="4">
        <f>'Ανάλυση για νέους πελάτες'!D74</f>
        <v>17</v>
      </c>
      <c r="Z108" s="285"/>
      <c r="AA108" s="172">
        <f t="shared" si="306"/>
        <v>17</v>
      </c>
      <c r="AB108" s="282">
        <f t="shared" si="307"/>
        <v>0</v>
      </c>
      <c r="AC108" s="172">
        <f t="shared" ref="AC108:AC115" si="319">AD108+AE108</f>
        <v>4</v>
      </c>
      <c r="AD108" s="4">
        <f>'Ανάλυση για νέους πελάτες'!E74</f>
        <v>4</v>
      </c>
      <c r="AE108" s="4"/>
      <c r="AF108" s="172">
        <f t="shared" si="308"/>
        <v>21</v>
      </c>
      <c r="AG108" s="286">
        <f t="shared" si="309"/>
        <v>0.23529411764705882</v>
      </c>
      <c r="AH108" s="172">
        <f t="shared" ref="AH108:AH115" si="320">AI108+AJ108</f>
        <v>4</v>
      </c>
      <c r="AI108" s="4">
        <f>'Ανάλυση για νέους πελάτες'!F74</f>
        <v>4</v>
      </c>
      <c r="AJ108" s="4"/>
      <c r="AK108" s="204">
        <f t="shared" si="310"/>
        <v>25</v>
      </c>
      <c r="AL108" s="286">
        <f t="shared" si="311"/>
        <v>0.19047619047619047</v>
      </c>
      <c r="AM108" s="172">
        <f t="shared" ref="AM108:AM115" si="321">AN108+AO108</f>
        <v>0</v>
      </c>
      <c r="AN108" s="4">
        <f>'Ανάλυση για νέους πελάτες'!G74</f>
        <v>0</v>
      </c>
      <c r="AO108" s="4"/>
      <c r="AP108" s="172">
        <f t="shared" si="312"/>
        <v>25</v>
      </c>
      <c r="AQ108" s="286">
        <f t="shared" si="313"/>
        <v>0</v>
      </c>
      <c r="AR108" s="172">
        <f t="shared" ref="AR108:AR115" si="322">AS108+AT108</f>
        <v>0</v>
      </c>
      <c r="AS108" s="4">
        <f>'Ανάλυση για νέους πελάτες'!H74</f>
        <v>0</v>
      </c>
      <c r="AT108" s="4"/>
      <c r="AU108" s="172">
        <f t="shared" si="314"/>
        <v>25</v>
      </c>
      <c r="AV108" s="286">
        <f t="shared" si="315"/>
        <v>0</v>
      </c>
      <c r="AW108" s="181">
        <f t="shared" si="316"/>
        <v>25</v>
      </c>
      <c r="AX108" s="289">
        <f t="shared" si="317"/>
        <v>0.10121665678542335</v>
      </c>
    </row>
    <row r="109" spans="1:50" s="290" customFormat="1" outlineLevel="1" x14ac:dyDescent="0.25">
      <c r="A109" s="3"/>
      <c r="B109" s="52" t="s">
        <v>285</v>
      </c>
      <c r="C109" s="56" t="s">
        <v>22</v>
      </c>
      <c r="D109" s="285"/>
      <c r="E109" s="285"/>
      <c r="F109" s="285"/>
      <c r="G109" s="172">
        <f t="shared" si="296"/>
        <v>0</v>
      </c>
      <c r="H109" s="282">
        <f t="shared" si="297"/>
        <v>0</v>
      </c>
      <c r="I109" s="285"/>
      <c r="J109" s="172">
        <f t="shared" si="298"/>
        <v>0</v>
      </c>
      <c r="K109" s="282">
        <f t="shared" si="299"/>
        <v>0</v>
      </c>
      <c r="L109" s="285"/>
      <c r="M109" s="172">
        <f t="shared" si="300"/>
        <v>0</v>
      </c>
      <c r="N109" s="282">
        <f t="shared" si="301"/>
        <v>0</v>
      </c>
      <c r="O109" s="285"/>
      <c r="P109" s="287"/>
      <c r="Q109" s="288"/>
      <c r="R109" s="285"/>
      <c r="S109" s="172">
        <f t="shared" si="302"/>
        <v>0</v>
      </c>
      <c r="T109" s="286">
        <f t="shared" si="303"/>
        <v>0</v>
      </c>
      <c r="U109" s="181">
        <f t="shared" si="304"/>
        <v>0</v>
      </c>
      <c r="V109" s="289">
        <f t="shared" si="305"/>
        <v>0</v>
      </c>
      <c r="W109" s="3"/>
      <c r="X109" s="172">
        <f t="shared" si="318"/>
        <v>18</v>
      </c>
      <c r="Y109" s="4">
        <f>'Ανάλυση για νέους πελάτες'!D75</f>
        <v>18</v>
      </c>
      <c r="Z109" s="285"/>
      <c r="AA109" s="172">
        <f t="shared" si="306"/>
        <v>18</v>
      </c>
      <c r="AB109" s="282">
        <f t="shared" si="307"/>
        <v>0</v>
      </c>
      <c r="AC109" s="172">
        <f t="shared" si="319"/>
        <v>8</v>
      </c>
      <c r="AD109" s="4">
        <f>'Ανάλυση για νέους πελάτες'!E75</f>
        <v>8</v>
      </c>
      <c r="AE109" s="4"/>
      <c r="AF109" s="172">
        <f t="shared" si="308"/>
        <v>26</v>
      </c>
      <c r="AG109" s="286">
        <f t="shared" si="309"/>
        <v>0.44444444444444442</v>
      </c>
      <c r="AH109" s="172">
        <f t="shared" si="320"/>
        <v>7</v>
      </c>
      <c r="AI109" s="4">
        <f>'Ανάλυση για νέους πελάτες'!F75</f>
        <v>7</v>
      </c>
      <c r="AJ109" s="4"/>
      <c r="AK109" s="204">
        <f t="shared" si="310"/>
        <v>33</v>
      </c>
      <c r="AL109" s="286">
        <f t="shared" si="311"/>
        <v>0.26923076923076922</v>
      </c>
      <c r="AM109" s="172">
        <f t="shared" si="321"/>
        <v>0</v>
      </c>
      <c r="AN109" s="4">
        <f>'Ανάλυση για νέους πελάτες'!G75</f>
        <v>0</v>
      </c>
      <c r="AO109" s="4"/>
      <c r="AP109" s="172">
        <f t="shared" si="312"/>
        <v>33</v>
      </c>
      <c r="AQ109" s="286">
        <f t="shared" si="313"/>
        <v>0</v>
      </c>
      <c r="AR109" s="172">
        <f t="shared" si="322"/>
        <v>0</v>
      </c>
      <c r="AS109" s="4">
        <f>'Ανάλυση για νέους πελάτες'!H75</f>
        <v>0</v>
      </c>
      <c r="AT109" s="4"/>
      <c r="AU109" s="172">
        <f t="shared" si="314"/>
        <v>33</v>
      </c>
      <c r="AV109" s="286">
        <f t="shared" si="315"/>
        <v>0</v>
      </c>
      <c r="AW109" s="181">
        <f t="shared" si="316"/>
        <v>33</v>
      </c>
      <c r="AX109" s="289">
        <f t="shared" si="317"/>
        <v>0.16361780700222184</v>
      </c>
    </row>
    <row r="110" spans="1:50" s="3" customFormat="1" outlineLevel="1" x14ac:dyDescent="0.25">
      <c r="B110" s="52" t="s">
        <v>286</v>
      </c>
      <c r="C110" s="56" t="s">
        <v>22</v>
      </c>
      <c r="D110" s="4"/>
      <c r="E110" s="4"/>
      <c r="F110" s="4"/>
      <c r="G110" s="172">
        <f t="shared" si="296"/>
        <v>0</v>
      </c>
      <c r="H110" s="282">
        <f t="shared" si="297"/>
        <v>0</v>
      </c>
      <c r="I110" s="4"/>
      <c r="J110" s="172">
        <f t="shared" si="298"/>
        <v>0</v>
      </c>
      <c r="K110" s="282">
        <f t="shared" si="299"/>
        <v>0</v>
      </c>
      <c r="L110" s="4"/>
      <c r="M110" s="172">
        <f t="shared" si="300"/>
        <v>0</v>
      </c>
      <c r="N110" s="282">
        <f t="shared" si="301"/>
        <v>0</v>
      </c>
      <c r="O110" s="4"/>
      <c r="P110" s="158"/>
      <c r="Q110" s="283"/>
      <c r="R110" s="4"/>
      <c r="S110" s="172">
        <f t="shared" si="302"/>
        <v>0</v>
      </c>
      <c r="T110" s="282">
        <f t="shared" si="303"/>
        <v>0</v>
      </c>
      <c r="U110" s="181">
        <f t="shared" si="304"/>
        <v>0</v>
      </c>
      <c r="V110" s="192">
        <f t="shared" si="305"/>
        <v>0</v>
      </c>
      <c r="X110" s="172">
        <f t="shared" si="318"/>
        <v>4</v>
      </c>
      <c r="Y110" s="4">
        <f>'Ανάλυση για νέους πελάτες'!D76</f>
        <v>4</v>
      </c>
      <c r="Z110" s="285"/>
      <c r="AA110" s="172">
        <f t="shared" si="306"/>
        <v>4</v>
      </c>
      <c r="AB110" s="282">
        <f t="shared" si="307"/>
        <v>0</v>
      </c>
      <c r="AC110" s="172">
        <f t="shared" si="319"/>
        <v>16</v>
      </c>
      <c r="AD110" s="4">
        <f>'Ανάλυση για νέους πελάτες'!E76</f>
        <v>16</v>
      </c>
      <c r="AE110" s="4"/>
      <c r="AF110" s="172">
        <f t="shared" si="308"/>
        <v>20</v>
      </c>
      <c r="AG110" s="284">
        <f t="shared" si="309"/>
        <v>4</v>
      </c>
      <c r="AH110" s="172">
        <f t="shared" si="320"/>
        <v>4</v>
      </c>
      <c r="AI110" s="4">
        <f>'Ανάλυση για νέους πελάτες'!F76</f>
        <v>4</v>
      </c>
      <c r="AJ110" s="4"/>
      <c r="AK110" s="172">
        <f t="shared" si="310"/>
        <v>24</v>
      </c>
      <c r="AL110" s="284">
        <f t="shared" si="311"/>
        <v>0.2</v>
      </c>
      <c r="AM110" s="172">
        <f t="shared" si="321"/>
        <v>2</v>
      </c>
      <c r="AN110" s="4">
        <f>'Ανάλυση για νέους πελάτες'!G76</f>
        <v>2</v>
      </c>
      <c r="AO110" s="4"/>
      <c r="AP110" s="172">
        <f t="shared" si="312"/>
        <v>26</v>
      </c>
      <c r="AQ110" s="284">
        <f t="shared" si="313"/>
        <v>8.3333333333333329E-2</v>
      </c>
      <c r="AR110" s="172">
        <f t="shared" si="322"/>
        <v>2</v>
      </c>
      <c r="AS110" s="4">
        <f>'Ανάλυση για νέους πελάτες'!H76</f>
        <v>2</v>
      </c>
      <c r="AT110" s="4"/>
      <c r="AU110" s="172">
        <f t="shared" si="314"/>
        <v>28</v>
      </c>
      <c r="AV110" s="284">
        <f t="shared" si="315"/>
        <v>7.6923076923076927E-2</v>
      </c>
      <c r="AW110" s="181">
        <f t="shared" si="316"/>
        <v>28</v>
      </c>
      <c r="AX110" s="192">
        <f t="shared" si="317"/>
        <v>0.62657656169778564</v>
      </c>
    </row>
    <row r="111" spans="1:50" s="290" customFormat="1" outlineLevel="1" x14ac:dyDescent="0.25">
      <c r="A111" s="3"/>
      <c r="B111" s="52" t="s">
        <v>287</v>
      </c>
      <c r="C111" s="56" t="s">
        <v>22</v>
      </c>
      <c r="D111" s="285"/>
      <c r="E111" s="285"/>
      <c r="F111" s="285"/>
      <c r="G111" s="172">
        <f t="shared" si="296"/>
        <v>0</v>
      </c>
      <c r="H111" s="282">
        <f t="shared" si="297"/>
        <v>0</v>
      </c>
      <c r="I111" s="285"/>
      <c r="J111" s="172">
        <f t="shared" si="298"/>
        <v>0</v>
      </c>
      <c r="K111" s="282">
        <f t="shared" si="299"/>
        <v>0</v>
      </c>
      <c r="L111" s="285"/>
      <c r="M111" s="172">
        <f t="shared" si="300"/>
        <v>0</v>
      </c>
      <c r="N111" s="282">
        <f t="shared" si="301"/>
        <v>0</v>
      </c>
      <c r="O111" s="285"/>
      <c r="P111" s="287"/>
      <c r="Q111" s="288"/>
      <c r="R111" s="285"/>
      <c r="S111" s="172">
        <f t="shared" si="302"/>
        <v>0</v>
      </c>
      <c r="T111" s="286">
        <f t="shared" si="303"/>
        <v>0</v>
      </c>
      <c r="U111" s="181">
        <f t="shared" si="304"/>
        <v>0</v>
      </c>
      <c r="V111" s="289">
        <f t="shared" si="305"/>
        <v>0</v>
      </c>
      <c r="W111" s="3"/>
      <c r="X111" s="172">
        <f t="shared" si="318"/>
        <v>0</v>
      </c>
      <c r="Y111" s="4">
        <f>'Ανάλυση για νέους πελάτες'!D77</f>
        <v>0</v>
      </c>
      <c r="Z111" s="285"/>
      <c r="AA111" s="172">
        <f t="shared" si="306"/>
        <v>0</v>
      </c>
      <c r="AB111" s="282">
        <f t="shared" si="307"/>
        <v>0</v>
      </c>
      <c r="AC111" s="172">
        <f t="shared" si="319"/>
        <v>45</v>
      </c>
      <c r="AD111" s="4">
        <f>'Ανάλυση για νέους πελάτες'!E77</f>
        <v>45</v>
      </c>
      <c r="AE111" s="4"/>
      <c r="AF111" s="172">
        <f t="shared" si="308"/>
        <v>45</v>
      </c>
      <c r="AG111" s="286">
        <f t="shared" si="309"/>
        <v>0</v>
      </c>
      <c r="AH111" s="172">
        <f t="shared" si="320"/>
        <v>2</v>
      </c>
      <c r="AI111" s="4">
        <f>'Ανάλυση για νέους πελάτες'!F77</f>
        <v>2</v>
      </c>
      <c r="AJ111" s="4"/>
      <c r="AK111" s="204">
        <f t="shared" si="310"/>
        <v>47</v>
      </c>
      <c r="AL111" s="286">
        <f t="shared" si="311"/>
        <v>4.4444444444444446E-2</v>
      </c>
      <c r="AM111" s="172">
        <f t="shared" si="321"/>
        <v>2</v>
      </c>
      <c r="AN111" s="4">
        <f>'Ανάλυση για νέους πελάτες'!G77</f>
        <v>2</v>
      </c>
      <c r="AO111" s="4"/>
      <c r="AP111" s="172">
        <f t="shared" si="312"/>
        <v>49</v>
      </c>
      <c r="AQ111" s="286">
        <f t="shared" si="313"/>
        <v>4.2553191489361701E-2</v>
      </c>
      <c r="AR111" s="172">
        <f t="shared" si="322"/>
        <v>2</v>
      </c>
      <c r="AS111" s="4">
        <f>'Ανάλυση για νέους πελάτες'!H77</f>
        <v>2</v>
      </c>
      <c r="AT111" s="4"/>
      <c r="AU111" s="172">
        <f t="shared" si="314"/>
        <v>51</v>
      </c>
      <c r="AV111" s="286">
        <f t="shared" si="315"/>
        <v>4.0816326530612242E-2</v>
      </c>
      <c r="AW111" s="181">
        <f t="shared" si="316"/>
        <v>51</v>
      </c>
      <c r="AX111" s="289">
        <f t="shared" si="317"/>
        <v>0</v>
      </c>
    </row>
    <row r="112" spans="1:50" s="3" customFormat="1" outlineLevel="1" x14ac:dyDescent="0.25">
      <c r="B112" s="52" t="s">
        <v>288</v>
      </c>
      <c r="C112" s="56" t="s">
        <v>22</v>
      </c>
      <c r="D112" s="4"/>
      <c r="E112" s="4"/>
      <c r="F112" s="4"/>
      <c r="G112" s="172">
        <f t="shared" si="296"/>
        <v>0</v>
      </c>
      <c r="H112" s="282">
        <f t="shared" si="297"/>
        <v>0</v>
      </c>
      <c r="I112" s="4"/>
      <c r="J112" s="172">
        <f t="shared" si="298"/>
        <v>0</v>
      </c>
      <c r="K112" s="282">
        <f t="shared" si="299"/>
        <v>0</v>
      </c>
      <c r="L112" s="4"/>
      <c r="M112" s="172">
        <f t="shared" si="300"/>
        <v>0</v>
      </c>
      <c r="N112" s="282">
        <f t="shared" si="301"/>
        <v>0</v>
      </c>
      <c r="O112" s="4"/>
      <c r="P112" s="158"/>
      <c r="Q112" s="283"/>
      <c r="R112" s="4"/>
      <c r="S112" s="172">
        <f t="shared" si="302"/>
        <v>0</v>
      </c>
      <c r="T112" s="282">
        <f t="shared" si="303"/>
        <v>0</v>
      </c>
      <c r="U112" s="181">
        <f t="shared" si="304"/>
        <v>0</v>
      </c>
      <c r="V112" s="192">
        <f t="shared" si="305"/>
        <v>0</v>
      </c>
      <c r="X112" s="172">
        <f t="shared" si="318"/>
        <v>14</v>
      </c>
      <c r="Y112" s="4">
        <f>'Ανάλυση για νέους πελάτες'!D78</f>
        <v>14</v>
      </c>
      <c r="Z112" s="285"/>
      <c r="AA112" s="172">
        <f t="shared" si="306"/>
        <v>14</v>
      </c>
      <c r="AB112" s="282">
        <f t="shared" si="307"/>
        <v>0</v>
      </c>
      <c r="AC112" s="172">
        <f t="shared" si="319"/>
        <v>1</v>
      </c>
      <c r="AD112" s="4">
        <f>'Ανάλυση για νέους πελάτες'!E78</f>
        <v>1</v>
      </c>
      <c r="AE112" s="4"/>
      <c r="AF112" s="172">
        <f t="shared" si="308"/>
        <v>15</v>
      </c>
      <c r="AG112" s="284">
        <f t="shared" si="309"/>
        <v>7.1428571428571425E-2</v>
      </c>
      <c r="AH112" s="172">
        <f t="shared" si="320"/>
        <v>0</v>
      </c>
      <c r="AI112" s="4">
        <f>'Ανάλυση για νέους πελάτες'!F78</f>
        <v>0</v>
      </c>
      <c r="AJ112" s="4"/>
      <c r="AK112" s="172">
        <f t="shared" si="310"/>
        <v>15</v>
      </c>
      <c r="AL112" s="284">
        <f t="shared" si="311"/>
        <v>0</v>
      </c>
      <c r="AM112" s="172">
        <f t="shared" si="321"/>
        <v>0</v>
      </c>
      <c r="AN112" s="4">
        <f>'Ανάλυση για νέους πελάτες'!G78</f>
        <v>0</v>
      </c>
      <c r="AO112" s="4"/>
      <c r="AP112" s="172">
        <f t="shared" si="312"/>
        <v>15</v>
      </c>
      <c r="AQ112" s="284">
        <f t="shared" si="313"/>
        <v>0</v>
      </c>
      <c r="AR112" s="172">
        <f t="shared" si="322"/>
        <v>0</v>
      </c>
      <c r="AS112" s="4">
        <f>'Ανάλυση για νέους πελάτες'!H78</f>
        <v>0</v>
      </c>
      <c r="AT112" s="4"/>
      <c r="AU112" s="172">
        <f t="shared" si="314"/>
        <v>15</v>
      </c>
      <c r="AV112" s="284">
        <f t="shared" si="315"/>
        <v>0</v>
      </c>
      <c r="AW112" s="181">
        <f t="shared" si="316"/>
        <v>15</v>
      </c>
      <c r="AX112" s="192">
        <f t="shared" si="317"/>
        <v>1.7397827309224789E-2</v>
      </c>
    </row>
    <row r="113" spans="2:50" s="3" customFormat="1" ht="16.5" customHeight="1" outlineLevel="1" x14ac:dyDescent="0.25">
      <c r="B113" s="52" t="s">
        <v>289</v>
      </c>
      <c r="C113" s="56" t="s">
        <v>22</v>
      </c>
      <c r="D113" s="4"/>
      <c r="E113" s="4"/>
      <c r="F113" s="4"/>
      <c r="G113" s="172">
        <f t="shared" si="296"/>
        <v>0</v>
      </c>
      <c r="H113" s="282">
        <f t="shared" si="297"/>
        <v>0</v>
      </c>
      <c r="I113" s="4"/>
      <c r="J113" s="172">
        <f t="shared" si="298"/>
        <v>0</v>
      </c>
      <c r="K113" s="282">
        <f t="shared" si="299"/>
        <v>0</v>
      </c>
      <c r="L113" s="4"/>
      <c r="M113" s="172">
        <f t="shared" si="300"/>
        <v>0</v>
      </c>
      <c r="N113" s="282">
        <f t="shared" si="301"/>
        <v>0</v>
      </c>
      <c r="O113" s="4"/>
      <c r="P113" s="158"/>
      <c r="Q113" s="283"/>
      <c r="R113" s="4"/>
      <c r="S113" s="172">
        <f t="shared" si="302"/>
        <v>0</v>
      </c>
      <c r="T113" s="282">
        <f t="shared" si="303"/>
        <v>0</v>
      </c>
      <c r="U113" s="181">
        <f t="shared" si="304"/>
        <v>0</v>
      </c>
      <c r="V113" s="192">
        <f t="shared" si="305"/>
        <v>0</v>
      </c>
      <c r="X113" s="172">
        <f t="shared" si="318"/>
        <v>21</v>
      </c>
      <c r="Y113" s="4">
        <f>'Ανάλυση για νέους πελάτες'!D79</f>
        <v>21</v>
      </c>
      <c r="Z113" s="285"/>
      <c r="AA113" s="172">
        <f t="shared" si="306"/>
        <v>21</v>
      </c>
      <c r="AB113" s="282">
        <f t="shared" si="307"/>
        <v>0</v>
      </c>
      <c r="AC113" s="172">
        <f t="shared" si="319"/>
        <v>11</v>
      </c>
      <c r="AD113" s="4">
        <f>'Ανάλυση για νέους πελάτες'!E79</f>
        <v>11</v>
      </c>
      <c r="AE113" s="4"/>
      <c r="AF113" s="172">
        <f t="shared" si="308"/>
        <v>32</v>
      </c>
      <c r="AG113" s="284">
        <f t="shared" si="309"/>
        <v>0.52380952380952384</v>
      </c>
      <c r="AH113" s="172">
        <f t="shared" si="320"/>
        <v>3</v>
      </c>
      <c r="AI113" s="4">
        <f>'Ανάλυση για νέους πελάτες'!F79</f>
        <v>3</v>
      </c>
      <c r="AJ113" s="4"/>
      <c r="AK113" s="172">
        <f t="shared" si="310"/>
        <v>35</v>
      </c>
      <c r="AL113" s="284">
        <f t="shared" si="311"/>
        <v>9.375E-2</v>
      </c>
      <c r="AM113" s="172">
        <f t="shared" si="321"/>
        <v>2</v>
      </c>
      <c r="AN113" s="4">
        <f>'Ανάλυση για νέους πελάτες'!G79</f>
        <v>2</v>
      </c>
      <c r="AO113" s="4"/>
      <c r="AP113" s="172">
        <f t="shared" si="312"/>
        <v>37</v>
      </c>
      <c r="AQ113" s="284">
        <f t="shared" si="313"/>
        <v>5.7142857142857141E-2</v>
      </c>
      <c r="AR113" s="172">
        <f t="shared" si="322"/>
        <v>1</v>
      </c>
      <c r="AS113" s="4">
        <f>'Ανάλυση για νέους πελάτες'!H79</f>
        <v>1</v>
      </c>
      <c r="AT113" s="4"/>
      <c r="AU113" s="172">
        <f t="shared" si="314"/>
        <v>38</v>
      </c>
      <c r="AV113" s="284">
        <f t="shared" si="315"/>
        <v>2.7027027027027029E-2</v>
      </c>
      <c r="AW113" s="181">
        <f t="shared" si="316"/>
        <v>38</v>
      </c>
      <c r="AX113" s="192">
        <f t="shared" si="317"/>
        <v>0.15982128721156807</v>
      </c>
    </row>
    <row r="114" spans="2:50" s="3" customFormat="1" ht="16.5" customHeight="1" outlineLevel="1" x14ac:dyDescent="0.25">
      <c r="B114" s="52" t="s">
        <v>290</v>
      </c>
      <c r="C114" s="56" t="s">
        <v>22</v>
      </c>
      <c r="D114" s="4"/>
      <c r="E114" s="4"/>
      <c r="F114" s="4"/>
      <c r="G114" s="172">
        <f t="shared" si="296"/>
        <v>0</v>
      </c>
      <c r="H114" s="282">
        <f t="shared" si="297"/>
        <v>0</v>
      </c>
      <c r="I114" s="4"/>
      <c r="J114" s="172">
        <f t="shared" si="298"/>
        <v>0</v>
      </c>
      <c r="K114" s="282">
        <f t="shared" si="299"/>
        <v>0</v>
      </c>
      <c r="L114" s="4"/>
      <c r="M114" s="172">
        <f t="shared" si="300"/>
        <v>0</v>
      </c>
      <c r="N114" s="282">
        <f t="shared" si="301"/>
        <v>0</v>
      </c>
      <c r="O114" s="4"/>
      <c r="P114" s="158"/>
      <c r="Q114" s="283"/>
      <c r="R114" s="4"/>
      <c r="S114" s="172">
        <f t="shared" si="302"/>
        <v>0</v>
      </c>
      <c r="T114" s="282">
        <f t="shared" si="303"/>
        <v>0</v>
      </c>
      <c r="U114" s="181">
        <f t="shared" si="304"/>
        <v>0</v>
      </c>
      <c r="V114" s="192">
        <f t="shared" si="305"/>
        <v>0</v>
      </c>
      <c r="X114" s="172">
        <f t="shared" si="318"/>
        <v>53</v>
      </c>
      <c r="Y114" s="4">
        <f>'Ανάλυση για νέους πελάτες'!D80</f>
        <v>53</v>
      </c>
      <c r="Z114" s="285"/>
      <c r="AA114" s="172">
        <f t="shared" si="306"/>
        <v>53</v>
      </c>
      <c r="AB114" s="282">
        <f t="shared" si="307"/>
        <v>0</v>
      </c>
      <c r="AC114" s="172">
        <f t="shared" si="319"/>
        <v>7</v>
      </c>
      <c r="AD114" s="4">
        <f>'Ανάλυση για νέους πελάτες'!E80</f>
        <v>7</v>
      </c>
      <c r="AE114" s="4"/>
      <c r="AF114" s="172">
        <f t="shared" si="308"/>
        <v>60</v>
      </c>
      <c r="AG114" s="284">
        <f t="shared" si="309"/>
        <v>0.13207547169811321</v>
      </c>
      <c r="AH114" s="172">
        <f t="shared" si="320"/>
        <v>3</v>
      </c>
      <c r="AI114" s="4">
        <f>'Ανάλυση για νέους πελάτες'!F80</f>
        <v>3</v>
      </c>
      <c r="AJ114" s="4"/>
      <c r="AK114" s="172">
        <f t="shared" si="310"/>
        <v>63</v>
      </c>
      <c r="AL114" s="284">
        <f t="shared" si="311"/>
        <v>0.05</v>
      </c>
      <c r="AM114" s="172">
        <f t="shared" si="321"/>
        <v>2</v>
      </c>
      <c r="AN114" s="4">
        <f>'Ανάλυση για νέους πελάτες'!G80</f>
        <v>2</v>
      </c>
      <c r="AO114" s="4"/>
      <c r="AP114" s="172">
        <f t="shared" si="312"/>
        <v>65</v>
      </c>
      <c r="AQ114" s="284">
        <f t="shared" si="313"/>
        <v>3.1746031746031744E-2</v>
      </c>
      <c r="AR114" s="172">
        <f t="shared" si="322"/>
        <v>1</v>
      </c>
      <c r="AS114" s="4">
        <f>'Ανάλυση για νέους πελάτες'!H80</f>
        <v>1</v>
      </c>
      <c r="AT114" s="4"/>
      <c r="AU114" s="172">
        <f t="shared" si="314"/>
        <v>66</v>
      </c>
      <c r="AV114" s="284">
        <f t="shared" si="315"/>
        <v>1.5384615384615385E-2</v>
      </c>
      <c r="AW114" s="181">
        <f t="shared" si="316"/>
        <v>66</v>
      </c>
      <c r="AX114" s="192">
        <f t="shared" si="317"/>
        <v>5.6372328680377448E-2</v>
      </c>
    </row>
    <row r="115" spans="2:50" s="3" customFormat="1" ht="16.5" customHeight="1" outlineLevel="1" x14ac:dyDescent="0.25">
      <c r="B115" s="52" t="s">
        <v>291</v>
      </c>
      <c r="C115" s="56" t="s">
        <v>22</v>
      </c>
      <c r="D115" s="4"/>
      <c r="E115" s="4"/>
      <c r="F115" s="4"/>
      <c r="G115" s="172">
        <f t="shared" si="296"/>
        <v>0</v>
      </c>
      <c r="H115" s="282">
        <f t="shared" si="297"/>
        <v>0</v>
      </c>
      <c r="I115" s="4"/>
      <c r="J115" s="172">
        <f t="shared" si="298"/>
        <v>0</v>
      </c>
      <c r="K115" s="282">
        <f t="shared" si="299"/>
        <v>0</v>
      </c>
      <c r="L115" s="4"/>
      <c r="M115" s="172">
        <f t="shared" si="300"/>
        <v>0</v>
      </c>
      <c r="N115" s="282">
        <f t="shared" si="301"/>
        <v>0</v>
      </c>
      <c r="O115" s="4"/>
      <c r="P115" s="158"/>
      <c r="Q115" s="283"/>
      <c r="R115" s="4"/>
      <c r="S115" s="172">
        <f t="shared" si="302"/>
        <v>0</v>
      </c>
      <c r="T115" s="282">
        <f t="shared" si="303"/>
        <v>0</v>
      </c>
      <c r="U115" s="181">
        <f t="shared" si="304"/>
        <v>0</v>
      </c>
      <c r="V115" s="192">
        <f t="shared" si="305"/>
        <v>0</v>
      </c>
      <c r="X115" s="172">
        <f t="shared" si="318"/>
        <v>0</v>
      </c>
      <c r="Y115" s="4">
        <f>'Ανάλυση για νέους πελάτες'!D81</f>
        <v>0</v>
      </c>
      <c r="Z115" s="285"/>
      <c r="AA115" s="172">
        <f t="shared" si="306"/>
        <v>0</v>
      </c>
      <c r="AB115" s="282">
        <f t="shared" si="307"/>
        <v>0</v>
      </c>
      <c r="AC115" s="172">
        <f t="shared" si="319"/>
        <v>12</v>
      </c>
      <c r="AD115" s="4">
        <f>'Ανάλυση για νέους πελάτες'!E81</f>
        <v>12</v>
      </c>
      <c r="AE115" s="4"/>
      <c r="AF115" s="172">
        <f t="shared" si="308"/>
        <v>12</v>
      </c>
      <c r="AG115" s="284">
        <f t="shared" si="309"/>
        <v>0</v>
      </c>
      <c r="AH115" s="172">
        <f t="shared" si="320"/>
        <v>5</v>
      </c>
      <c r="AI115" s="4">
        <f>'Ανάλυση για νέους πελάτες'!F81</f>
        <v>5</v>
      </c>
      <c r="AJ115" s="4"/>
      <c r="AK115" s="172">
        <f t="shared" si="310"/>
        <v>17</v>
      </c>
      <c r="AL115" s="284">
        <f t="shared" si="311"/>
        <v>0.41666666666666669</v>
      </c>
      <c r="AM115" s="172">
        <f t="shared" si="321"/>
        <v>0</v>
      </c>
      <c r="AN115" s="4">
        <f>'Ανάλυση για νέους πελάτες'!G81</f>
        <v>0</v>
      </c>
      <c r="AO115" s="4"/>
      <c r="AP115" s="172">
        <f t="shared" si="312"/>
        <v>17</v>
      </c>
      <c r="AQ115" s="284">
        <f t="shared" si="313"/>
        <v>0</v>
      </c>
      <c r="AR115" s="172">
        <f t="shared" si="322"/>
        <v>0</v>
      </c>
      <c r="AS115" s="4">
        <f>'Ανάλυση για νέους πελάτες'!H81</f>
        <v>0</v>
      </c>
      <c r="AT115" s="4"/>
      <c r="AU115" s="172">
        <f t="shared" si="314"/>
        <v>17</v>
      </c>
      <c r="AV115" s="284">
        <f t="shared" si="315"/>
        <v>0</v>
      </c>
      <c r="AW115" s="181">
        <f t="shared" si="316"/>
        <v>17</v>
      </c>
      <c r="AX115" s="192">
        <f t="shared" si="317"/>
        <v>0</v>
      </c>
    </row>
    <row r="116" spans="2:50" s="3" customFormat="1" ht="16.5" customHeight="1" outlineLevel="1" x14ac:dyDescent="0.25">
      <c r="B116" s="52" t="s">
        <v>307</v>
      </c>
      <c r="C116" s="56" t="s">
        <v>22</v>
      </c>
      <c r="D116" s="4"/>
      <c r="E116" s="4"/>
      <c r="F116" s="4"/>
      <c r="G116" s="172"/>
      <c r="H116" s="282">
        <f t="shared" si="297"/>
        <v>0</v>
      </c>
      <c r="I116" s="4"/>
      <c r="J116" s="172"/>
      <c r="K116" s="282">
        <f t="shared" si="299"/>
        <v>0</v>
      </c>
      <c r="L116" s="4"/>
      <c r="M116" s="172"/>
      <c r="N116" s="282">
        <f t="shared" si="301"/>
        <v>0</v>
      </c>
      <c r="O116" s="4"/>
      <c r="P116" s="158"/>
      <c r="Q116" s="283"/>
      <c r="R116" s="4"/>
      <c r="S116" s="172"/>
      <c r="T116" s="282">
        <f t="shared" si="303"/>
        <v>0</v>
      </c>
      <c r="U116" s="181">
        <f t="shared" si="304"/>
        <v>0</v>
      </c>
      <c r="V116" s="192">
        <f t="shared" si="305"/>
        <v>0</v>
      </c>
      <c r="X116" s="172">
        <f t="shared" ref="X116:X120" si="323">Y116+Z116</f>
        <v>4</v>
      </c>
      <c r="Y116" s="4">
        <f>'Ανάλυση για νέους πελάτες'!D82</f>
        <v>4</v>
      </c>
      <c r="Z116" s="285"/>
      <c r="AA116" s="172">
        <f t="shared" ref="AA116:AA120" si="324">S116+X116</f>
        <v>4</v>
      </c>
      <c r="AB116" s="282">
        <f t="shared" ref="AB116:AB120" si="325">IFERROR((AA116-S116)/S116,0)</f>
        <v>0</v>
      </c>
      <c r="AC116" s="172">
        <f t="shared" ref="AC116:AC120" si="326">AD116+AE116</f>
        <v>2</v>
      </c>
      <c r="AD116" s="4">
        <f>'Ανάλυση για νέους πελάτες'!E82</f>
        <v>2</v>
      </c>
      <c r="AE116" s="4"/>
      <c r="AF116" s="172">
        <f t="shared" ref="AF116:AF120" si="327">AA116+AC116</f>
        <v>6</v>
      </c>
      <c r="AG116" s="284">
        <f t="shared" ref="AG116:AG120" si="328">IFERROR((AF116-AA116)/AA116,0)</f>
        <v>0.5</v>
      </c>
      <c r="AH116" s="172">
        <f t="shared" ref="AH116:AH120" si="329">AI116+AJ116</f>
        <v>3</v>
      </c>
      <c r="AI116" s="4">
        <f>'Ανάλυση για νέους πελάτες'!F82</f>
        <v>3</v>
      </c>
      <c r="AJ116" s="4"/>
      <c r="AK116" s="172">
        <f t="shared" ref="AK116:AK120" si="330">AF116+AH116</f>
        <v>9</v>
      </c>
      <c r="AL116" s="284">
        <f t="shared" ref="AL116:AL120" si="331">IFERROR((AK116-AF116)/AF116,0)</f>
        <v>0.5</v>
      </c>
      <c r="AM116" s="172">
        <f t="shared" ref="AM116:AM120" si="332">AN116+AO116</f>
        <v>1</v>
      </c>
      <c r="AN116" s="4">
        <f>'Ανάλυση για νέους πελάτες'!G82</f>
        <v>1</v>
      </c>
      <c r="AO116" s="4"/>
      <c r="AP116" s="172">
        <f t="shared" ref="AP116:AP120" si="333">AK116+AM116</f>
        <v>10</v>
      </c>
      <c r="AQ116" s="284">
        <f t="shared" ref="AQ116:AQ120" si="334">IFERROR((AP116-AK116)/AK116,0)</f>
        <v>0.1111111111111111</v>
      </c>
      <c r="AR116" s="172">
        <f t="shared" ref="AR116:AR120" si="335">AS116+AT116</f>
        <v>0</v>
      </c>
      <c r="AS116" s="4">
        <f>'Ανάλυση για νέους πελάτες'!H82</f>
        <v>0</v>
      </c>
      <c r="AT116" s="4"/>
      <c r="AU116" s="172">
        <f t="shared" ref="AU116:AU120" si="336">AP116+AR116</f>
        <v>10</v>
      </c>
      <c r="AV116" s="284">
        <f t="shared" ref="AV116:AV120" si="337">IFERROR((AU116-AP116)/AP116,0)</f>
        <v>0</v>
      </c>
      <c r="AW116" s="181">
        <f t="shared" ref="AW116:AW120" si="338">X116+AC116+AH116+AM116+AR116</f>
        <v>10</v>
      </c>
      <c r="AX116" s="192">
        <f t="shared" si="317"/>
        <v>0.25743342968293548</v>
      </c>
    </row>
    <row r="117" spans="2:50" s="3" customFormat="1" ht="16.5" customHeight="1" outlineLevel="1" x14ac:dyDescent="0.25">
      <c r="B117" s="52" t="s">
        <v>304</v>
      </c>
      <c r="C117" s="56" t="s">
        <v>22</v>
      </c>
      <c r="D117" s="4"/>
      <c r="E117" s="4"/>
      <c r="F117" s="4"/>
      <c r="G117" s="172"/>
      <c r="H117" s="282">
        <f t="shared" si="297"/>
        <v>0</v>
      </c>
      <c r="I117" s="4"/>
      <c r="J117" s="172"/>
      <c r="K117" s="282">
        <f t="shared" si="299"/>
        <v>0</v>
      </c>
      <c r="L117" s="4"/>
      <c r="M117" s="172"/>
      <c r="N117" s="282">
        <f t="shared" si="301"/>
        <v>0</v>
      </c>
      <c r="O117" s="4"/>
      <c r="P117" s="158"/>
      <c r="Q117" s="283"/>
      <c r="R117" s="4"/>
      <c r="S117" s="172"/>
      <c r="T117" s="282">
        <f t="shared" si="303"/>
        <v>0</v>
      </c>
      <c r="U117" s="181">
        <f t="shared" si="304"/>
        <v>0</v>
      </c>
      <c r="V117" s="192">
        <f t="shared" si="305"/>
        <v>0</v>
      </c>
      <c r="X117" s="172">
        <f t="shared" si="323"/>
        <v>6</v>
      </c>
      <c r="Y117" s="4">
        <f>'Ανάλυση για νέους πελάτες'!D83</f>
        <v>6</v>
      </c>
      <c r="Z117" s="285"/>
      <c r="AA117" s="172">
        <f t="shared" si="324"/>
        <v>6</v>
      </c>
      <c r="AB117" s="282">
        <f t="shared" si="325"/>
        <v>0</v>
      </c>
      <c r="AC117" s="172">
        <f t="shared" si="326"/>
        <v>2</v>
      </c>
      <c r="AD117" s="4">
        <f>'Ανάλυση για νέους πελάτες'!E83</f>
        <v>2</v>
      </c>
      <c r="AE117" s="4"/>
      <c r="AF117" s="172">
        <f t="shared" si="327"/>
        <v>8</v>
      </c>
      <c r="AG117" s="284">
        <f t="shared" si="328"/>
        <v>0.33333333333333331</v>
      </c>
      <c r="AH117" s="172">
        <f t="shared" si="329"/>
        <v>2</v>
      </c>
      <c r="AI117" s="4">
        <f>'Ανάλυση για νέους πελάτες'!F83</f>
        <v>2</v>
      </c>
      <c r="AJ117" s="4"/>
      <c r="AK117" s="172">
        <f t="shared" si="330"/>
        <v>10</v>
      </c>
      <c r="AL117" s="284">
        <f t="shared" si="331"/>
        <v>0.25</v>
      </c>
      <c r="AM117" s="172">
        <f t="shared" si="332"/>
        <v>1</v>
      </c>
      <c r="AN117" s="4">
        <f>'Ανάλυση για νέους πελάτες'!G83</f>
        <v>1</v>
      </c>
      <c r="AO117" s="4"/>
      <c r="AP117" s="172">
        <f t="shared" si="333"/>
        <v>11</v>
      </c>
      <c r="AQ117" s="284">
        <f t="shared" si="334"/>
        <v>0.1</v>
      </c>
      <c r="AR117" s="172">
        <f t="shared" si="335"/>
        <v>0</v>
      </c>
      <c r="AS117" s="4">
        <f>'Ανάλυση για νέους πελάτες'!H83</f>
        <v>0</v>
      </c>
      <c r="AT117" s="4"/>
      <c r="AU117" s="172">
        <f t="shared" si="336"/>
        <v>11</v>
      </c>
      <c r="AV117" s="284">
        <f t="shared" si="337"/>
        <v>0</v>
      </c>
      <c r="AW117" s="181">
        <f t="shared" si="338"/>
        <v>11</v>
      </c>
      <c r="AX117" s="192">
        <f t="shared" si="317"/>
        <v>0.16361780700222184</v>
      </c>
    </row>
    <row r="118" spans="2:50" s="3" customFormat="1" ht="16.5" customHeight="1" outlineLevel="1" x14ac:dyDescent="0.25">
      <c r="B118" s="52" t="s">
        <v>305</v>
      </c>
      <c r="C118" s="56" t="s">
        <v>22</v>
      </c>
      <c r="D118" s="4"/>
      <c r="E118" s="4"/>
      <c r="F118" s="4"/>
      <c r="G118" s="172"/>
      <c r="H118" s="282">
        <f t="shared" si="297"/>
        <v>0</v>
      </c>
      <c r="I118" s="4"/>
      <c r="J118" s="172"/>
      <c r="K118" s="282">
        <f t="shared" si="299"/>
        <v>0</v>
      </c>
      <c r="L118" s="4"/>
      <c r="M118" s="172"/>
      <c r="N118" s="282">
        <f t="shared" si="301"/>
        <v>0</v>
      </c>
      <c r="O118" s="4"/>
      <c r="P118" s="158"/>
      <c r="Q118" s="283"/>
      <c r="R118" s="4"/>
      <c r="S118" s="172"/>
      <c r="T118" s="282">
        <f t="shared" si="303"/>
        <v>0</v>
      </c>
      <c r="U118" s="181">
        <f t="shared" si="304"/>
        <v>0</v>
      </c>
      <c r="V118" s="192">
        <f t="shared" si="305"/>
        <v>0</v>
      </c>
      <c r="X118" s="172">
        <f t="shared" si="323"/>
        <v>5</v>
      </c>
      <c r="Y118" s="4">
        <f>'Ανάλυση για νέους πελάτες'!D84</f>
        <v>5</v>
      </c>
      <c r="Z118" s="285"/>
      <c r="AA118" s="172">
        <f t="shared" si="324"/>
        <v>5</v>
      </c>
      <c r="AB118" s="282">
        <f t="shared" si="325"/>
        <v>0</v>
      </c>
      <c r="AC118" s="172">
        <f t="shared" si="326"/>
        <v>2</v>
      </c>
      <c r="AD118" s="4">
        <f>'Ανάλυση για νέους πελάτες'!E84</f>
        <v>2</v>
      </c>
      <c r="AE118" s="4"/>
      <c r="AF118" s="172">
        <f t="shared" si="327"/>
        <v>7</v>
      </c>
      <c r="AG118" s="284">
        <f t="shared" si="328"/>
        <v>0.4</v>
      </c>
      <c r="AH118" s="172">
        <f t="shared" si="329"/>
        <v>2</v>
      </c>
      <c r="AI118" s="4">
        <f>'Ανάλυση για νέους πελάτες'!F84</f>
        <v>2</v>
      </c>
      <c r="AJ118" s="4"/>
      <c r="AK118" s="172">
        <f t="shared" si="330"/>
        <v>9</v>
      </c>
      <c r="AL118" s="284">
        <f t="shared" si="331"/>
        <v>0.2857142857142857</v>
      </c>
      <c r="AM118" s="172">
        <f t="shared" si="332"/>
        <v>1</v>
      </c>
      <c r="AN118" s="4">
        <f>'Ανάλυση για νέους πελάτες'!G84</f>
        <v>1</v>
      </c>
      <c r="AO118" s="4"/>
      <c r="AP118" s="172">
        <f t="shared" si="333"/>
        <v>10</v>
      </c>
      <c r="AQ118" s="284">
        <f t="shared" si="334"/>
        <v>0.1111111111111111</v>
      </c>
      <c r="AR118" s="172">
        <f t="shared" si="335"/>
        <v>0</v>
      </c>
      <c r="AS118" s="4">
        <f>'Ανάλυση για νέους πελάτες'!H84</f>
        <v>0</v>
      </c>
      <c r="AT118" s="4"/>
      <c r="AU118" s="172">
        <f t="shared" si="336"/>
        <v>10</v>
      </c>
      <c r="AV118" s="284">
        <f t="shared" si="337"/>
        <v>0</v>
      </c>
      <c r="AW118" s="181">
        <f t="shared" si="338"/>
        <v>10</v>
      </c>
      <c r="AX118" s="192">
        <f t="shared" si="317"/>
        <v>0.18920711500272103</v>
      </c>
    </row>
    <row r="119" spans="2:50" s="3" customFormat="1" ht="16.5" customHeight="1" outlineLevel="1" x14ac:dyDescent="0.25">
      <c r="B119" s="52" t="s">
        <v>306</v>
      </c>
      <c r="C119" s="56" t="s">
        <v>22</v>
      </c>
      <c r="D119" s="4"/>
      <c r="E119" s="4"/>
      <c r="F119" s="4"/>
      <c r="G119" s="172"/>
      <c r="H119" s="282">
        <f t="shared" si="297"/>
        <v>0</v>
      </c>
      <c r="I119" s="4"/>
      <c r="J119" s="172"/>
      <c r="K119" s="282">
        <f t="shared" si="299"/>
        <v>0</v>
      </c>
      <c r="L119" s="4"/>
      <c r="M119" s="172"/>
      <c r="N119" s="282">
        <f t="shared" si="301"/>
        <v>0</v>
      </c>
      <c r="O119" s="4"/>
      <c r="P119" s="158"/>
      <c r="Q119" s="283"/>
      <c r="R119" s="4"/>
      <c r="S119" s="172"/>
      <c r="T119" s="282">
        <f t="shared" si="303"/>
        <v>0</v>
      </c>
      <c r="U119" s="181">
        <f t="shared" si="304"/>
        <v>0</v>
      </c>
      <c r="V119" s="192">
        <f t="shared" si="305"/>
        <v>0</v>
      </c>
      <c r="X119" s="172">
        <f t="shared" si="323"/>
        <v>7</v>
      </c>
      <c r="Y119" s="4">
        <f>'Ανάλυση για νέους πελάτες'!D85</f>
        <v>7</v>
      </c>
      <c r="Z119" s="285"/>
      <c r="AA119" s="172">
        <f t="shared" si="324"/>
        <v>7</v>
      </c>
      <c r="AB119" s="282">
        <f t="shared" si="325"/>
        <v>0</v>
      </c>
      <c r="AC119" s="172">
        <f t="shared" si="326"/>
        <v>5</v>
      </c>
      <c r="AD119" s="4">
        <f>'Ανάλυση για νέους πελάτες'!E85</f>
        <v>5</v>
      </c>
      <c r="AE119" s="4"/>
      <c r="AF119" s="172">
        <f t="shared" si="327"/>
        <v>12</v>
      </c>
      <c r="AG119" s="284">
        <f t="shared" si="328"/>
        <v>0.7142857142857143</v>
      </c>
      <c r="AH119" s="172">
        <f t="shared" si="329"/>
        <v>4</v>
      </c>
      <c r="AI119" s="4">
        <f>'Ανάλυση για νέους πελάτες'!F85</f>
        <v>4</v>
      </c>
      <c r="AJ119" s="4"/>
      <c r="AK119" s="172">
        <f t="shared" si="330"/>
        <v>16</v>
      </c>
      <c r="AL119" s="284">
        <f t="shared" si="331"/>
        <v>0.33333333333333331</v>
      </c>
      <c r="AM119" s="172">
        <f t="shared" si="332"/>
        <v>5</v>
      </c>
      <c r="AN119" s="4">
        <f>'Ανάλυση για νέους πελάτες'!G85</f>
        <v>5</v>
      </c>
      <c r="AO119" s="4"/>
      <c r="AP119" s="172">
        <f t="shared" si="333"/>
        <v>21</v>
      </c>
      <c r="AQ119" s="284">
        <f t="shared" si="334"/>
        <v>0.3125</v>
      </c>
      <c r="AR119" s="172">
        <f t="shared" si="335"/>
        <v>10</v>
      </c>
      <c r="AS119" s="4">
        <f>'Ανάλυση για νέους πελάτες'!H85</f>
        <v>10</v>
      </c>
      <c r="AT119" s="4"/>
      <c r="AU119" s="172">
        <f t="shared" si="336"/>
        <v>31</v>
      </c>
      <c r="AV119" s="284">
        <f t="shared" si="337"/>
        <v>0.47619047619047616</v>
      </c>
      <c r="AW119" s="181">
        <f t="shared" si="338"/>
        <v>31</v>
      </c>
      <c r="AX119" s="192">
        <f t="shared" si="317"/>
        <v>0.45066092634929866</v>
      </c>
    </row>
    <row r="120" spans="2:50" s="3" customFormat="1" ht="16.5" customHeight="1" outlineLevel="1" x14ac:dyDescent="0.25">
      <c r="B120" s="52" t="s">
        <v>308</v>
      </c>
      <c r="C120" s="56" t="s">
        <v>22</v>
      </c>
      <c r="D120" s="4"/>
      <c r="E120" s="4"/>
      <c r="F120" s="4"/>
      <c r="G120" s="172"/>
      <c r="H120" s="282">
        <f t="shared" si="297"/>
        <v>0</v>
      </c>
      <c r="I120" s="4"/>
      <c r="J120" s="172"/>
      <c r="K120" s="282">
        <f t="shared" si="299"/>
        <v>0</v>
      </c>
      <c r="L120" s="4"/>
      <c r="M120" s="172"/>
      <c r="N120" s="282">
        <f t="shared" si="301"/>
        <v>0</v>
      </c>
      <c r="O120" s="4"/>
      <c r="P120" s="158"/>
      <c r="Q120" s="283"/>
      <c r="R120" s="4"/>
      <c r="S120" s="172"/>
      <c r="T120" s="282">
        <f t="shared" si="303"/>
        <v>0</v>
      </c>
      <c r="U120" s="181">
        <f t="shared" si="304"/>
        <v>0</v>
      </c>
      <c r="V120" s="192">
        <f t="shared" si="305"/>
        <v>0</v>
      </c>
      <c r="X120" s="172">
        <f t="shared" si="323"/>
        <v>9</v>
      </c>
      <c r="Y120" s="4">
        <f>'Ανάλυση για νέους πελάτες'!D86</f>
        <v>9</v>
      </c>
      <c r="Z120" s="285"/>
      <c r="AA120" s="172">
        <f t="shared" si="324"/>
        <v>9</v>
      </c>
      <c r="AB120" s="282">
        <f t="shared" si="325"/>
        <v>0</v>
      </c>
      <c r="AC120" s="172">
        <f t="shared" si="326"/>
        <v>15</v>
      </c>
      <c r="AD120" s="4">
        <f>'Ανάλυση για νέους πελάτες'!E86</f>
        <v>15</v>
      </c>
      <c r="AE120" s="4"/>
      <c r="AF120" s="172">
        <f t="shared" si="327"/>
        <v>24</v>
      </c>
      <c r="AG120" s="284">
        <f t="shared" si="328"/>
        <v>1.6666666666666667</v>
      </c>
      <c r="AH120" s="172">
        <f t="shared" si="329"/>
        <v>13</v>
      </c>
      <c r="AI120" s="4">
        <f>'Ανάλυση για νέους πελάτες'!F86</f>
        <v>13</v>
      </c>
      <c r="AJ120" s="4"/>
      <c r="AK120" s="172">
        <f t="shared" si="330"/>
        <v>37</v>
      </c>
      <c r="AL120" s="284">
        <f t="shared" si="331"/>
        <v>0.54166666666666663</v>
      </c>
      <c r="AM120" s="172">
        <f t="shared" si="332"/>
        <v>17</v>
      </c>
      <c r="AN120" s="4">
        <f>'Ανάλυση για νέους πελάτες'!G86</f>
        <v>17</v>
      </c>
      <c r="AO120" s="4"/>
      <c r="AP120" s="172">
        <f t="shared" si="333"/>
        <v>54</v>
      </c>
      <c r="AQ120" s="284">
        <f t="shared" si="334"/>
        <v>0.45945945945945948</v>
      </c>
      <c r="AR120" s="172">
        <f t="shared" si="335"/>
        <v>10</v>
      </c>
      <c r="AS120" s="4">
        <f>'Ανάλυση για νέους πελάτες'!H86</f>
        <v>10</v>
      </c>
      <c r="AT120" s="4"/>
      <c r="AU120" s="172">
        <f t="shared" si="336"/>
        <v>64</v>
      </c>
      <c r="AV120" s="284">
        <f t="shared" si="337"/>
        <v>0.18518518518518517</v>
      </c>
      <c r="AW120" s="181">
        <f t="shared" si="338"/>
        <v>64</v>
      </c>
      <c r="AX120" s="192">
        <f t="shared" si="317"/>
        <v>0.63299316185545207</v>
      </c>
    </row>
    <row r="121" spans="2:50" s="3" customFormat="1" ht="16.5" customHeight="1" outlineLevel="1" x14ac:dyDescent="0.25">
      <c r="B121" s="52"/>
      <c r="C121" s="56"/>
      <c r="D121" s="4"/>
      <c r="E121" s="4"/>
      <c r="F121" s="4"/>
      <c r="G121" s="172"/>
      <c r="H121" s="282">
        <f t="shared" si="297"/>
        <v>0</v>
      </c>
      <c r="I121" s="4"/>
      <c r="J121" s="172"/>
      <c r="K121" s="282">
        <f t="shared" si="299"/>
        <v>0</v>
      </c>
      <c r="L121" s="4"/>
      <c r="M121" s="172"/>
      <c r="N121" s="282">
        <f t="shared" si="301"/>
        <v>0</v>
      </c>
      <c r="O121" s="4"/>
      <c r="P121" s="158"/>
      <c r="Q121" s="283"/>
      <c r="R121" s="4"/>
      <c r="S121" s="172"/>
      <c r="T121" s="282">
        <f t="shared" si="303"/>
        <v>0</v>
      </c>
      <c r="U121" s="181">
        <f t="shared" si="304"/>
        <v>0</v>
      </c>
      <c r="V121" s="192">
        <f t="shared" si="305"/>
        <v>0</v>
      </c>
      <c r="X121" s="172"/>
      <c r="Y121" s="4"/>
      <c r="Z121" s="285"/>
      <c r="AA121" s="172"/>
      <c r="AB121" s="282">
        <f t="shared" si="307"/>
        <v>0</v>
      </c>
      <c r="AC121" s="172"/>
      <c r="AD121" s="4"/>
      <c r="AE121" s="4"/>
      <c r="AF121" s="172"/>
      <c r="AG121" s="284">
        <f t="shared" si="309"/>
        <v>0</v>
      </c>
      <c r="AH121" s="172"/>
      <c r="AI121" s="4"/>
      <c r="AJ121" s="4"/>
      <c r="AK121" s="172"/>
      <c r="AL121" s="284">
        <f t="shared" si="311"/>
        <v>0</v>
      </c>
      <c r="AM121" s="172"/>
      <c r="AN121" s="4"/>
      <c r="AO121" s="4"/>
      <c r="AP121" s="172"/>
      <c r="AQ121" s="284">
        <f t="shared" si="313"/>
        <v>0</v>
      </c>
      <c r="AR121" s="172"/>
      <c r="AS121" s="4"/>
      <c r="AT121" s="4"/>
      <c r="AU121" s="172"/>
      <c r="AV121" s="284">
        <f t="shared" si="315"/>
        <v>0</v>
      </c>
      <c r="AW121" s="181"/>
      <c r="AX121" s="192">
        <f t="shared" si="317"/>
        <v>0</v>
      </c>
    </row>
    <row r="122" spans="2:50" s="3" customFormat="1" ht="15" customHeight="1" outlineLevel="1" x14ac:dyDescent="0.25">
      <c r="B122" s="404" t="s">
        <v>90</v>
      </c>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row>
    <row r="123" spans="2:50" s="3" customFormat="1" ht="15" customHeight="1" outlineLevel="1" x14ac:dyDescent="0.25">
      <c r="B123" s="52" t="s">
        <v>82</v>
      </c>
      <c r="C123" s="56" t="s">
        <v>22</v>
      </c>
      <c r="D123" s="172">
        <f>SUM(D107:D121)</f>
        <v>0</v>
      </c>
      <c r="E123" s="172">
        <f>SUM(E107:E121)</f>
        <v>0</v>
      </c>
      <c r="F123" s="172">
        <f>SUM(F107:F121)</f>
        <v>0</v>
      </c>
      <c r="G123" s="172">
        <f>SUM(G107:G121)</f>
        <v>0</v>
      </c>
      <c r="H123" s="282">
        <f>IFERROR((G123-E123)/E123,0)</f>
        <v>0</v>
      </c>
      <c r="I123" s="172">
        <f>SUM(I107:I121)</f>
        <v>0</v>
      </c>
      <c r="J123" s="172">
        <f>SUM(J107:J121)</f>
        <v>0</v>
      </c>
      <c r="K123" s="282">
        <f t="shared" ref="K123" si="339">IFERROR((J123-G123)/G123,0)</f>
        <v>0</v>
      </c>
      <c r="L123" s="172">
        <f>SUM(L107:L121)</f>
        <v>0</v>
      </c>
      <c r="M123" s="172">
        <f>SUM(M107:M121)</f>
        <v>0</v>
      </c>
      <c r="N123" s="282">
        <f t="shared" ref="N123" si="340">IFERROR((M123-J123)/J123,0)</f>
        <v>0</v>
      </c>
      <c r="O123" s="172">
        <f>SUM(O107:O121)</f>
        <v>0</v>
      </c>
      <c r="P123" s="172"/>
      <c r="Q123" s="282"/>
      <c r="R123" s="172">
        <f>SUM(R107:R121)</f>
        <v>0</v>
      </c>
      <c r="S123" s="172">
        <f>SUM(S107:S121)</f>
        <v>0</v>
      </c>
      <c r="T123" s="282">
        <f>IFERROR((S123-M123)/M123,0)</f>
        <v>0</v>
      </c>
      <c r="U123" s="181">
        <f>D123+F123+I123+L123+R123</f>
        <v>0</v>
      </c>
      <c r="V123" s="192">
        <f>IFERROR((S123/E123)^(1/4)-1,0)</f>
        <v>0</v>
      </c>
      <c r="X123" s="187">
        <f>SUM(X107:X121)</f>
        <v>160</v>
      </c>
      <c r="Y123" s="187">
        <f>SUM(Y107:Y121)</f>
        <v>160</v>
      </c>
      <c r="Z123" s="187">
        <f>SUM(Z107:Z121)</f>
        <v>0</v>
      </c>
      <c r="AA123" s="187">
        <f>SUM(AA107:AA121)</f>
        <v>160</v>
      </c>
      <c r="AB123" s="282">
        <f>IFERROR((AA123-S123)/S123,0)</f>
        <v>0</v>
      </c>
      <c r="AC123" s="187">
        <f>SUM(AC107:AC121)</f>
        <v>132</v>
      </c>
      <c r="AD123" s="187">
        <f>SUM(AD107:AD121)</f>
        <v>132</v>
      </c>
      <c r="AE123" s="187">
        <f>SUM(AE107:AE121)</f>
        <v>0</v>
      </c>
      <c r="AF123" s="187">
        <f>SUM(AF107:AF121)</f>
        <v>292</v>
      </c>
      <c r="AG123" s="284">
        <f>IFERROR((AF123-AA123)/AA123,0)</f>
        <v>0.82499999999999996</v>
      </c>
      <c r="AH123" s="187">
        <f>SUM(AH107:AH121)</f>
        <v>52</v>
      </c>
      <c r="AI123" s="187">
        <f>SUM(AI107:AI121)</f>
        <v>52</v>
      </c>
      <c r="AJ123" s="187">
        <f>SUM(AJ107:AJ121)</f>
        <v>0</v>
      </c>
      <c r="AK123" s="187">
        <f>SUM(AK107:AK121)</f>
        <v>344</v>
      </c>
      <c r="AL123" s="284">
        <f t="shared" ref="AL123" si="341">IFERROR((AK123-AF123)/AF123,0)</f>
        <v>0.17808219178082191</v>
      </c>
      <c r="AM123" s="187">
        <f>SUM(AM107:AM121)</f>
        <v>33</v>
      </c>
      <c r="AN123" s="187">
        <f>SUM(AN107:AN121)</f>
        <v>33</v>
      </c>
      <c r="AO123" s="187">
        <f>SUM(AO107:AO121)</f>
        <v>0</v>
      </c>
      <c r="AP123" s="187">
        <f>SUM(AP107:AP121)</f>
        <v>377</v>
      </c>
      <c r="AQ123" s="284">
        <f t="shared" ref="AQ123" si="342">IFERROR((AP123-AK123)/AK123,0)</f>
        <v>9.5930232558139539E-2</v>
      </c>
      <c r="AR123" s="187">
        <f>SUM(AR107:AR121)</f>
        <v>26</v>
      </c>
      <c r="AS123" s="187">
        <f>SUM(AS107:AS121)</f>
        <v>26</v>
      </c>
      <c r="AT123" s="187">
        <f>SUM(AT107:AT121)</f>
        <v>0</v>
      </c>
      <c r="AU123" s="187">
        <f>SUM(AU107:AU121)</f>
        <v>403</v>
      </c>
      <c r="AV123" s="284">
        <f t="shared" ref="AV123" si="343">IFERROR((AU123-AP123)/AP123,0)</f>
        <v>6.8965517241379309E-2</v>
      </c>
      <c r="AW123" s="187">
        <f>SUM(AW107:AW121)</f>
        <v>403</v>
      </c>
      <c r="AX123" s="192">
        <f t="shared" ref="AX123" si="344">IFERROR((AU123/AA123)^(1/4)-1,0)</f>
        <v>0.2597845152288496</v>
      </c>
    </row>
    <row r="125" spans="2:50" ht="15.75" x14ac:dyDescent="0.25">
      <c r="B125" s="352" t="s">
        <v>13</v>
      </c>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row>
    <row r="126" spans="2:50" ht="5.45" customHeight="1" outlineLevel="1" x14ac:dyDescent="0.2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row>
    <row r="127" spans="2:50" outlineLevel="1" x14ac:dyDescent="0.25">
      <c r="B127" s="393"/>
      <c r="C127" s="385" t="s">
        <v>20</v>
      </c>
      <c r="D127" s="372" t="s">
        <v>262</v>
      </c>
      <c r="E127" s="373"/>
      <c r="F127" s="373"/>
      <c r="G127" s="373"/>
      <c r="H127" s="373"/>
      <c r="I127" s="373"/>
      <c r="J127" s="373"/>
      <c r="K127" s="373"/>
      <c r="L127" s="373"/>
      <c r="M127" s="373"/>
      <c r="N127" s="373"/>
      <c r="O127" s="373"/>
      <c r="P127" s="373"/>
      <c r="Q127" s="374"/>
      <c r="R127" s="372" t="s">
        <v>260</v>
      </c>
      <c r="S127" s="373"/>
      <c r="T127" s="374"/>
      <c r="U127" s="388" t="str">
        <f xml:space="preserve"> D128&amp;" - "&amp;R128</f>
        <v>2018 - 2022</v>
      </c>
      <c r="V127" s="398"/>
      <c r="X127" s="372" t="s">
        <v>261</v>
      </c>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2:50" outlineLevel="1" x14ac:dyDescent="0.25">
      <c r="B128" s="394"/>
      <c r="C128" s="386"/>
      <c r="D128" s="372">
        <f>$C$3-5</f>
        <v>2018</v>
      </c>
      <c r="E128" s="374"/>
      <c r="F128" s="372">
        <f>$C$3-4</f>
        <v>2019</v>
      </c>
      <c r="G128" s="373"/>
      <c r="H128" s="374"/>
      <c r="I128" s="372">
        <f>$C$3-3</f>
        <v>2020</v>
      </c>
      <c r="J128" s="373"/>
      <c r="K128" s="374"/>
      <c r="L128" s="372">
        <f>$C$3-2</f>
        <v>2021</v>
      </c>
      <c r="M128" s="373"/>
      <c r="N128" s="374"/>
      <c r="O128" s="372" t="str">
        <f>$C$3-1&amp;""&amp;" ("&amp;"Σεπτ"&amp;")"</f>
        <v>2022 (Σεπτ)</v>
      </c>
      <c r="P128" s="373"/>
      <c r="Q128" s="374"/>
      <c r="R128" s="372">
        <f>$C$3-1</f>
        <v>2022</v>
      </c>
      <c r="S128" s="373"/>
      <c r="T128" s="374"/>
      <c r="U128" s="390"/>
      <c r="V128" s="399"/>
      <c r="X128" s="372">
        <f>$C$3</f>
        <v>2023</v>
      </c>
      <c r="Y128" s="373"/>
      <c r="Z128" s="373"/>
      <c r="AA128" s="373"/>
      <c r="AB128" s="374"/>
      <c r="AC128" s="372">
        <f>$C$3+1</f>
        <v>2024</v>
      </c>
      <c r="AD128" s="373"/>
      <c r="AE128" s="373"/>
      <c r="AF128" s="373"/>
      <c r="AG128" s="374"/>
      <c r="AH128" s="372">
        <f>$C$3+2</f>
        <v>2025</v>
      </c>
      <c r="AI128" s="373"/>
      <c r="AJ128" s="373"/>
      <c r="AK128" s="373"/>
      <c r="AL128" s="374"/>
      <c r="AM128" s="372">
        <f>$C$3+3</f>
        <v>2026</v>
      </c>
      <c r="AN128" s="373"/>
      <c r="AO128" s="373"/>
      <c r="AP128" s="373"/>
      <c r="AQ128" s="374"/>
      <c r="AR128" s="372">
        <f>$C$3+4</f>
        <v>2027</v>
      </c>
      <c r="AS128" s="373"/>
      <c r="AT128" s="373"/>
      <c r="AU128" s="373"/>
      <c r="AV128" s="374"/>
      <c r="AW128" s="376" t="str">
        <f>X128&amp;" - "&amp;AR128</f>
        <v>2023 - 2027</v>
      </c>
      <c r="AX128" s="392"/>
    </row>
    <row r="129" spans="1:50" ht="45" outlineLevel="1" x14ac:dyDescent="0.25">
      <c r="B129" s="395"/>
      <c r="C129" s="387"/>
      <c r="D129" s="67" t="s">
        <v>6</v>
      </c>
      <c r="E129" s="68" t="s">
        <v>7</v>
      </c>
      <c r="F129" s="67" t="s">
        <v>6</v>
      </c>
      <c r="G129" s="9" t="s">
        <v>7</v>
      </c>
      <c r="H129" s="68" t="s">
        <v>81</v>
      </c>
      <c r="I129" s="67" t="s">
        <v>6</v>
      </c>
      <c r="J129" s="9" t="s">
        <v>7</v>
      </c>
      <c r="K129" s="68" t="s">
        <v>81</v>
      </c>
      <c r="L129" s="67" t="s">
        <v>6</v>
      </c>
      <c r="M129" s="9" t="s">
        <v>7</v>
      </c>
      <c r="N129" s="68" t="s">
        <v>81</v>
      </c>
      <c r="O129" s="67" t="s">
        <v>6</v>
      </c>
      <c r="P129" s="9" t="s">
        <v>7</v>
      </c>
      <c r="Q129" s="68" t="s">
        <v>81</v>
      </c>
      <c r="R129" s="67" t="s">
        <v>6</v>
      </c>
      <c r="S129" s="9" t="s">
        <v>7</v>
      </c>
      <c r="T129" s="68" t="s">
        <v>81</v>
      </c>
      <c r="U129" s="67" t="s">
        <v>17</v>
      </c>
      <c r="V129" s="132" t="s">
        <v>83</v>
      </c>
      <c r="X129" s="67" t="s">
        <v>6</v>
      </c>
      <c r="Y129" s="117" t="s">
        <v>88</v>
      </c>
      <c r="Z129" s="117" t="s">
        <v>89</v>
      </c>
      <c r="AA129" s="9" t="s">
        <v>7</v>
      </c>
      <c r="AB129" s="68" t="s">
        <v>81</v>
      </c>
      <c r="AC129" s="67" t="s">
        <v>6</v>
      </c>
      <c r="AD129" s="117" t="s">
        <v>88</v>
      </c>
      <c r="AE129" s="117" t="s">
        <v>89</v>
      </c>
      <c r="AF129" s="9" t="s">
        <v>7</v>
      </c>
      <c r="AG129" s="68" t="s">
        <v>81</v>
      </c>
      <c r="AH129" s="67" t="s">
        <v>6</v>
      </c>
      <c r="AI129" s="117" t="s">
        <v>88</v>
      </c>
      <c r="AJ129" s="117" t="s">
        <v>89</v>
      </c>
      <c r="AK129" s="9" t="s">
        <v>7</v>
      </c>
      <c r="AL129" s="68" t="s">
        <v>81</v>
      </c>
      <c r="AM129" s="67" t="s">
        <v>6</v>
      </c>
      <c r="AN129" s="117" t="s">
        <v>88</v>
      </c>
      <c r="AO129" s="117" t="s">
        <v>89</v>
      </c>
      <c r="AP129" s="9" t="s">
        <v>7</v>
      </c>
      <c r="AQ129" s="68" t="s">
        <v>81</v>
      </c>
      <c r="AR129" s="67" t="s">
        <v>6</v>
      </c>
      <c r="AS129" s="117" t="s">
        <v>88</v>
      </c>
      <c r="AT129" s="117" t="s">
        <v>89</v>
      </c>
      <c r="AU129" s="9" t="s">
        <v>7</v>
      </c>
      <c r="AV129" s="68" t="s">
        <v>81</v>
      </c>
      <c r="AW129" s="67" t="s">
        <v>17</v>
      </c>
      <c r="AX129" s="132" t="s">
        <v>83</v>
      </c>
    </row>
    <row r="130" spans="1:50" s="3" customFormat="1" outlineLevel="1" x14ac:dyDescent="0.25">
      <c r="B130" s="52" t="s">
        <v>283</v>
      </c>
      <c r="C130" s="56" t="s">
        <v>22</v>
      </c>
      <c r="D130" s="4"/>
      <c r="E130" s="4"/>
      <c r="F130" s="4"/>
      <c r="G130" s="172">
        <f t="shared" ref="G130:G138" si="345">E130+F130</f>
        <v>0</v>
      </c>
      <c r="H130" s="282">
        <f t="shared" ref="H130:H144" si="346">IFERROR((G130-E130)/E130,0)</f>
        <v>0</v>
      </c>
      <c r="I130" s="4"/>
      <c r="J130" s="172">
        <f t="shared" ref="J130:J138" si="347">G130+I130</f>
        <v>0</v>
      </c>
      <c r="K130" s="282">
        <f t="shared" ref="K130:K144" si="348">IFERROR((J130-G130)/G130,0)</f>
        <v>0</v>
      </c>
      <c r="L130" s="4"/>
      <c r="M130" s="172">
        <f t="shared" ref="M130:M138" si="349">J130+L130</f>
        <v>0</v>
      </c>
      <c r="N130" s="282">
        <f t="shared" ref="N130:N144" si="350">IFERROR((M130-J130)/J130,0)</f>
        <v>0</v>
      </c>
      <c r="O130" s="4"/>
      <c r="P130" s="158"/>
      <c r="Q130" s="283"/>
      <c r="R130" s="4"/>
      <c r="S130" s="172">
        <f t="shared" ref="S130:S138" si="351">M130+R130</f>
        <v>0</v>
      </c>
      <c r="T130" s="282">
        <f t="shared" ref="T130:T144" si="352">IFERROR((S130-M130)/M130,0)</f>
        <v>0</v>
      </c>
      <c r="U130" s="181">
        <f t="shared" ref="U130:U144" si="353">D130+F130+I130+L130+R130</f>
        <v>0</v>
      </c>
      <c r="V130" s="192">
        <f t="shared" ref="V130:V144" si="354">IFERROR((S130/E130)^(1/4)-1,0)</f>
        <v>0</v>
      </c>
      <c r="X130" s="172">
        <f>Y130+Z130</f>
        <v>0</v>
      </c>
      <c r="Y130" s="4">
        <f>'Ανάλυση για νέους πελάτες'!D93</f>
        <v>0</v>
      </c>
      <c r="Z130" s="4"/>
      <c r="AA130" s="172">
        <f t="shared" ref="AA130:AA138" si="355">S130+X130</f>
        <v>0</v>
      </c>
      <c r="AB130" s="282">
        <f t="shared" ref="AB130:AB144" si="356">IFERROR((AA130-S130)/S130,0)</f>
        <v>0</v>
      </c>
      <c r="AC130" s="172">
        <f>AD130+AE130</f>
        <v>0</v>
      </c>
      <c r="AD130" s="4">
        <f>'Ανάλυση για νέους πελάτες'!E93</f>
        <v>0</v>
      </c>
      <c r="AE130" s="4"/>
      <c r="AF130" s="172">
        <f t="shared" ref="AF130:AF138" si="357">AA130+AC130</f>
        <v>0</v>
      </c>
      <c r="AG130" s="284">
        <f t="shared" ref="AG130:AG144" si="358">IFERROR((AF130-AA130)/AA130,0)</f>
        <v>0</v>
      </c>
      <c r="AH130" s="172">
        <f>AI130+AJ130</f>
        <v>0</v>
      </c>
      <c r="AI130" s="4">
        <f>'Ανάλυση για νέους πελάτες'!F93</f>
        <v>0</v>
      </c>
      <c r="AJ130" s="4"/>
      <c r="AK130" s="172">
        <f t="shared" ref="AK130:AK138" si="359">AF130+AH130</f>
        <v>0</v>
      </c>
      <c r="AL130" s="284">
        <f t="shared" ref="AL130:AL144" si="360">IFERROR((AK130-AF130)/AF130,0)</f>
        <v>0</v>
      </c>
      <c r="AM130" s="172">
        <f>AN130+AO130</f>
        <v>0</v>
      </c>
      <c r="AN130" s="4">
        <f>'Ανάλυση για νέους πελάτες'!G93</f>
        <v>0</v>
      </c>
      <c r="AO130" s="4"/>
      <c r="AP130" s="172">
        <f t="shared" ref="AP130:AP138" si="361">AK130+AM130</f>
        <v>0</v>
      </c>
      <c r="AQ130" s="284">
        <f t="shared" ref="AQ130:AQ144" si="362">IFERROR((AP130-AK130)/AK130,0)</f>
        <v>0</v>
      </c>
      <c r="AR130" s="172">
        <f>AS130+AT130</f>
        <v>0</v>
      </c>
      <c r="AS130" s="4">
        <f>'Ανάλυση για νέους πελάτες'!H93</f>
        <v>0</v>
      </c>
      <c r="AT130" s="4"/>
      <c r="AU130" s="172">
        <f t="shared" ref="AU130:AU138" si="363">AP130+AR130</f>
        <v>0</v>
      </c>
      <c r="AV130" s="284">
        <f t="shared" ref="AV130:AV144" si="364">IFERROR((AU130-AP130)/AP130,0)</f>
        <v>0</v>
      </c>
      <c r="AW130" s="181">
        <f t="shared" ref="AW130:AW138" si="365">X130+AC130+AH130+AM130+AR130</f>
        <v>0</v>
      </c>
      <c r="AX130" s="192">
        <f t="shared" ref="AX130:AX144" si="366">IFERROR((AU130/AA130)^(1/4)-1,0)</f>
        <v>0</v>
      </c>
    </row>
    <row r="131" spans="1:50" s="290" customFormat="1" outlineLevel="1" x14ac:dyDescent="0.25">
      <c r="A131" s="3"/>
      <c r="B131" s="52" t="s">
        <v>284</v>
      </c>
      <c r="C131" s="56" t="s">
        <v>22</v>
      </c>
      <c r="D131" s="285"/>
      <c r="E131" s="285"/>
      <c r="F131" s="285"/>
      <c r="G131" s="172">
        <f t="shared" si="345"/>
        <v>0</v>
      </c>
      <c r="H131" s="282">
        <f t="shared" si="346"/>
        <v>0</v>
      </c>
      <c r="I131" s="285"/>
      <c r="J131" s="172">
        <f t="shared" si="347"/>
        <v>0</v>
      </c>
      <c r="K131" s="282">
        <f t="shared" si="348"/>
        <v>0</v>
      </c>
      <c r="L131" s="285"/>
      <c r="M131" s="172">
        <f t="shared" si="349"/>
        <v>0</v>
      </c>
      <c r="N131" s="282">
        <f t="shared" si="350"/>
        <v>0</v>
      </c>
      <c r="O131" s="285"/>
      <c r="P131" s="287"/>
      <c r="Q131" s="288"/>
      <c r="R131" s="285"/>
      <c r="S131" s="172">
        <f t="shared" si="351"/>
        <v>0</v>
      </c>
      <c r="T131" s="286">
        <f t="shared" si="352"/>
        <v>0</v>
      </c>
      <c r="U131" s="181">
        <f t="shared" si="353"/>
        <v>0</v>
      </c>
      <c r="V131" s="289">
        <f t="shared" si="354"/>
        <v>0</v>
      </c>
      <c r="W131" s="3"/>
      <c r="X131" s="172">
        <f t="shared" ref="X131:X138" si="367">Y131+Z131</f>
        <v>0</v>
      </c>
      <c r="Y131" s="4">
        <f>'Ανάλυση για νέους πελάτες'!D94</f>
        <v>0</v>
      </c>
      <c r="Z131" s="4"/>
      <c r="AA131" s="172">
        <f t="shared" si="355"/>
        <v>0</v>
      </c>
      <c r="AB131" s="282">
        <f t="shared" si="356"/>
        <v>0</v>
      </c>
      <c r="AC131" s="172">
        <f t="shared" ref="AC131:AC138" si="368">AD131+AE131</f>
        <v>0</v>
      </c>
      <c r="AD131" s="4">
        <f>'Ανάλυση για νέους πελάτες'!E94</f>
        <v>0</v>
      </c>
      <c r="AE131" s="4"/>
      <c r="AF131" s="172">
        <f t="shared" si="357"/>
        <v>0</v>
      </c>
      <c r="AG131" s="286">
        <f t="shared" si="358"/>
        <v>0</v>
      </c>
      <c r="AH131" s="172">
        <f t="shared" ref="AH131:AH138" si="369">AI131+AJ131</f>
        <v>0</v>
      </c>
      <c r="AI131" s="4">
        <f>'Ανάλυση για νέους πελάτες'!F94</f>
        <v>0</v>
      </c>
      <c r="AJ131" s="4"/>
      <c r="AK131" s="204">
        <f t="shared" si="359"/>
        <v>0</v>
      </c>
      <c r="AL131" s="286">
        <f t="shared" si="360"/>
        <v>0</v>
      </c>
      <c r="AM131" s="172">
        <f t="shared" ref="AM131:AM138" si="370">AN131+AO131</f>
        <v>0</v>
      </c>
      <c r="AN131" s="4">
        <f>'Ανάλυση για νέους πελάτες'!G94</f>
        <v>0</v>
      </c>
      <c r="AO131" s="4"/>
      <c r="AP131" s="172">
        <f t="shared" si="361"/>
        <v>0</v>
      </c>
      <c r="AQ131" s="286">
        <f t="shared" si="362"/>
        <v>0</v>
      </c>
      <c r="AR131" s="172">
        <f t="shared" ref="AR131:AR138" si="371">AS131+AT131</f>
        <v>0</v>
      </c>
      <c r="AS131" s="4">
        <f>'Ανάλυση για νέους πελάτες'!H94</f>
        <v>0</v>
      </c>
      <c r="AT131" s="4"/>
      <c r="AU131" s="172">
        <f t="shared" si="363"/>
        <v>0</v>
      </c>
      <c r="AV131" s="286">
        <f t="shared" si="364"/>
        <v>0</v>
      </c>
      <c r="AW131" s="181">
        <f t="shared" si="365"/>
        <v>0</v>
      </c>
      <c r="AX131" s="289">
        <f t="shared" si="366"/>
        <v>0</v>
      </c>
    </row>
    <row r="132" spans="1:50" s="290" customFormat="1" outlineLevel="1" x14ac:dyDescent="0.25">
      <c r="A132" s="3"/>
      <c r="B132" s="52" t="s">
        <v>285</v>
      </c>
      <c r="C132" s="56" t="s">
        <v>22</v>
      </c>
      <c r="D132" s="285"/>
      <c r="E132" s="285"/>
      <c r="F132" s="285"/>
      <c r="G132" s="172">
        <f t="shared" si="345"/>
        <v>0</v>
      </c>
      <c r="H132" s="282">
        <f t="shared" si="346"/>
        <v>0</v>
      </c>
      <c r="I132" s="285"/>
      <c r="J132" s="172">
        <f t="shared" si="347"/>
        <v>0</v>
      </c>
      <c r="K132" s="282">
        <f t="shared" si="348"/>
        <v>0</v>
      </c>
      <c r="L132" s="285"/>
      <c r="M132" s="172">
        <f t="shared" si="349"/>
        <v>0</v>
      </c>
      <c r="N132" s="282">
        <f t="shared" si="350"/>
        <v>0</v>
      </c>
      <c r="O132" s="285"/>
      <c r="P132" s="287"/>
      <c r="Q132" s="288"/>
      <c r="R132" s="285"/>
      <c r="S132" s="172">
        <f t="shared" si="351"/>
        <v>0</v>
      </c>
      <c r="T132" s="286">
        <f t="shared" si="352"/>
        <v>0</v>
      </c>
      <c r="U132" s="181">
        <f t="shared" si="353"/>
        <v>0</v>
      </c>
      <c r="V132" s="289">
        <f t="shared" si="354"/>
        <v>0</v>
      </c>
      <c r="W132" s="3"/>
      <c r="X132" s="172">
        <f t="shared" si="367"/>
        <v>0</v>
      </c>
      <c r="Y132" s="4">
        <f>'Ανάλυση για νέους πελάτες'!D95</f>
        <v>0</v>
      </c>
      <c r="Z132" s="4"/>
      <c r="AA132" s="172">
        <f t="shared" si="355"/>
        <v>0</v>
      </c>
      <c r="AB132" s="282">
        <f t="shared" si="356"/>
        <v>0</v>
      </c>
      <c r="AC132" s="172">
        <f t="shared" si="368"/>
        <v>0</v>
      </c>
      <c r="AD132" s="4">
        <f>'Ανάλυση για νέους πελάτες'!E95</f>
        <v>0</v>
      </c>
      <c r="AE132" s="4"/>
      <c r="AF132" s="172">
        <f t="shared" si="357"/>
        <v>0</v>
      </c>
      <c r="AG132" s="286">
        <f t="shared" si="358"/>
        <v>0</v>
      </c>
      <c r="AH132" s="172">
        <f t="shared" si="369"/>
        <v>0</v>
      </c>
      <c r="AI132" s="4">
        <f>'Ανάλυση για νέους πελάτες'!F95</f>
        <v>0</v>
      </c>
      <c r="AJ132" s="4"/>
      <c r="AK132" s="204">
        <f t="shared" si="359"/>
        <v>0</v>
      </c>
      <c r="AL132" s="286">
        <f t="shared" si="360"/>
        <v>0</v>
      </c>
      <c r="AM132" s="172">
        <f t="shared" si="370"/>
        <v>0</v>
      </c>
      <c r="AN132" s="4">
        <f>'Ανάλυση για νέους πελάτες'!G95</f>
        <v>0</v>
      </c>
      <c r="AO132" s="4"/>
      <c r="AP132" s="172">
        <f t="shared" si="361"/>
        <v>0</v>
      </c>
      <c r="AQ132" s="286">
        <f t="shared" si="362"/>
        <v>0</v>
      </c>
      <c r="AR132" s="172">
        <f t="shared" si="371"/>
        <v>0</v>
      </c>
      <c r="AS132" s="4">
        <f>'Ανάλυση για νέους πελάτες'!H95</f>
        <v>0</v>
      </c>
      <c r="AT132" s="4"/>
      <c r="AU132" s="172">
        <f t="shared" si="363"/>
        <v>0</v>
      </c>
      <c r="AV132" s="286">
        <f t="shared" si="364"/>
        <v>0</v>
      </c>
      <c r="AW132" s="181">
        <f t="shared" si="365"/>
        <v>0</v>
      </c>
      <c r="AX132" s="289">
        <f t="shared" si="366"/>
        <v>0</v>
      </c>
    </row>
    <row r="133" spans="1:50" s="3" customFormat="1" outlineLevel="1" x14ac:dyDescent="0.25">
      <c r="B133" s="52" t="s">
        <v>286</v>
      </c>
      <c r="C133" s="56" t="s">
        <v>22</v>
      </c>
      <c r="D133" s="4"/>
      <c r="E133" s="4"/>
      <c r="F133" s="4"/>
      <c r="G133" s="172">
        <f t="shared" si="345"/>
        <v>0</v>
      </c>
      <c r="H133" s="282">
        <f t="shared" si="346"/>
        <v>0</v>
      </c>
      <c r="I133" s="4"/>
      <c r="J133" s="172">
        <f t="shared" si="347"/>
        <v>0</v>
      </c>
      <c r="K133" s="282">
        <f t="shared" si="348"/>
        <v>0</v>
      </c>
      <c r="L133" s="4"/>
      <c r="M133" s="172">
        <f t="shared" si="349"/>
        <v>0</v>
      </c>
      <c r="N133" s="282">
        <f t="shared" si="350"/>
        <v>0</v>
      </c>
      <c r="O133" s="4"/>
      <c r="P133" s="158"/>
      <c r="Q133" s="283"/>
      <c r="R133" s="4"/>
      <c r="S133" s="172">
        <f t="shared" si="351"/>
        <v>0</v>
      </c>
      <c r="T133" s="282">
        <f t="shared" si="352"/>
        <v>0</v>
      </c>
      <c r="U133" s="181">
        <f t="shared" si="353"/>
        <v>0</v>
      </c>
      <c r="V133" s="192">
        <f t="shared" si="354"/>
        <v>0</v>
      </c>
      <c r="X133" s="172">
        <f t="shared" si="367"/>
        <v>0</v>
      </c>
      <c r="Y133" s="4">
        <f>'Ανάλυση για νέους πελάτες'!D96</f>
        <v>0</v>
      </c>
      <c r="Z133" s="4"/>
      <c r="AA133" s="172">
        <f t="shared" si="355"/>
        <v>0</v>
      </c>
      <c r="AB133" s="282">
        <f t="shared" si="356"/>
        <v>0</v>
      </c>
      <c r="AC133" s="172">
        <f t="shared" si="368"/>
        <v>2</v>
      </c>
      <c r="AD133" s="4">
        <f>'Ανάλυση για νέους πελάτες'!E96</f>
        <v>2</v>
      </c>
      <c r="AE133" s="4"/>
      <c r="AF133" s="172">
        <f t="shared" si="357"/>
        <v>2</v>
      </c>
      <c r="AG133" s="284">
        <f t="shared" si="358"/>
        <v>0</v>
      </c>
      <c r="AH133" s="172">
        <f t="shared" si="369"/>
        <v>2</v>
      </c>
      <c r="AI133" s="4">
        <f>'Ανάλυση για νέους πελάτες'!F96</f>
        <v>2</v>
      </c>
      <c r="AJ133" s="4"/>
      <c r="AK133" s="172">
        <f t="shared" si="359"/>
        <v>4</v>
      </c>
      <c r="AL133" s="284">
        <f t="shared" si="360"/>
        <v>1</v>
      </c>
      <c r="AM133" s="172">
        <f t="shared" si="370"/>
        <v>3</v>
      </c>
      <c r="AN133" s="4">
        <f>'Ανάλυση για νέους πελάτες'!G96</f>
        <v>3</v>
      </c>
      <c r="AO133" s="4"/>
      <c r="AP133" s="172">
        <f t="shared" si="361"/>
        <v>7</v>
      </c>
      <c r="AQ133" s="284">
        <f t="shared" si="362"/>
        <v>0.75</v>
      </c>
      <c r="AR133" s="172">
        <f t="shared" si="371"/>
        <v>1</v>
      </c>
      <c r="AS133" s="4">
        <f>'Ανάλυση για νέους πελάτες'!H96</f>
        <v>1</v>
      </c>
      <c r="AT133" s="4"/>
      <c r="AU133" s="172">
        <f t="shared" si="363"/>
        <v>8</v>
      </c>
      <c r="AV133" s="284">
        <f t="shared" si="364"/>
        <v>0.14285714285714285</v>
      </c>
      <c r="AW133" s="181">
        <f t="shared" si="365"/>
        <v>8</v>
      </c>
      <c r="AX133" s="192">
        <f t="shared" si="366"/>
        <v>0</v>
      </c>
    </row>
    <row r="134" spans="1:50" s="290" customFormat="1" outlineLevel="1" x14ac:dyDescent="0.25">
      <c r="A134" s="3"/>
      <c r="B134" s="52" t="s">
        <v>287</v>
      </c>
      <c r="C134" s="56" t="s">
        <v>22</v>
      </c>
      <c r="D134" s="285"/>
      <c r="E134" s="285"/>
      <c r="F134" s="285"/>
      <c r="G134" s="172">
        <f t="shared" si="345"/>
        <v>0</v>
      </c>
      <c r="H134" s="282">
        <f t="shared" si="346"/>
        <v>0</v>
      </c>
      <c r="I134" s="285"/>
      <c r="J134" s="172">
        <f t="shared" si="347"/>
        <v>0</v>
      </c>
      <c r="K134" s="282">
        <f t="shared" si="348"/>
        <v>0</v>
      </c>
      <c r="L134" s="285"/>
      <c r="M134" s="172">
        <f t="shared" si="349"/>
        <v>0</v>
      </c>
      <c r="N134" s="282">
        <f t="shared" si="350"/>
        <v>0</v>
      </c>
      <c r="O134" s="285"/>
      <c r="P134" s="287"/>
      <c r="Q134" s="288"/>
      <c r="R134" s="285"/>
      <c r="S134" s="172">
        <f t="shared" si="351"/>
        <v>0</v>
      </c>
      <c r="T134" s="286">
        <f t="shared" si="352"/>
        <v>0</v>
      </c>
      <c r="U134" s="181">
        <f t="shared" si="353"/>
        <v>0</v>
      </c>
      <c r="V134" s="289">
        <f t="shared" si="354"/>
        <v>0</v>
      </c>
      <c r="W134" s="3"/>
      <c r="X134" s="172">
        <f t="shared" si="367"/>
        <v>0</v>
      </c>
      <c r="Y134" s="4">
        <f>'Ανάλυση για νέους πελάτες'!D97</f>
        <v>0</v>
      </c>
      <c r="Z134" s="4"/>
      <c r="AA134" s="172">
        <f t="shared" si="355"/>
        <v>0</v>
      </c>
      <c r="AB134" s="282">
        <f t="shared" si="356"/>
        <v>0</v>
      </c>
      <c r="AC134" s="172">
        <f t="shared" si="368"/>
        <v>4</v>
      </c>
      <c r="AD134" s="4">
        <f>'Ανάλυση για νέους πελάτες'!E97</f>
        <v>4</v>
      </c>
      <c r="AE134" s="4"/>
      <c r="AF134" s="172">
        <f t="shared" si="357"/>
        <v>4</v>
      </c>
      <c r="AG134" s="286">
        <f t="shared" si="358"/>
        <v>0</v>
      </c>
      <c r="AH134" s="172">
        <f t="shared" si="369"/>
        <v>2</v>
      </c>
      <c r="AI134" s="4">
        <f>'Ανάλυση για νέους πελάτες'!F97</f>
        <v>2</v>
      </c>
      <c r="AJ134" s="4"/>
      <c r="AK134" s="204">
        <f t="shared" si="359"/>
        <v>6</v>
      </c>
      <c r="AL134" s="286">
        <f t="shared" si="360"/>
        <v>0.5</v>
      </c>
      <c r="AM134" s="172">
        <f t="shared" si="370"/>
        <v>1</v>
      </c>
      <c r="AN134" s="4">
        <f>'Ανάλυση για νέους πελάτες'!G97</f>
        <v>1</v>
      </c>
      <c r="AO134" s="4"/>
      <c r="AP134" s="172">
        <f t="shared" si="361"/>
        <v>7</v>
      </c>
      <c r="AQ134" s="286">
        <f t="shared" si="362"/>
        <v>0.16666666666666666</v>
      </c>
      <c r="AR134" s="172">
        <f t="shared" si="371"/>
        <v>1</v>
      </c>
      <c r="AS134" s="4">
        <f>'Ανάλυση για νέους πελάτες'!H97</f>
        <v>1</v>
      </c>
      <c r="AT134" s="4"/>
      <c r="AU134" s="172">
        <f t="shared" si="363"/>
        <v>8</v>
      </c>
      <c r="AV134" s="286">
        <f t="shared" si="364"/>
        <v>0.14285714285714285</v>
      </c>
      <c r="AW134" s="181">
        <f t="shared" si="365"/>
        <v>8</v>
      </c>
      <c r="AX134" s="289">
        <f t="shared" si="366"/>
        <v>0</v>
      </c>
    </row>
    <row r="135" spans="1:50" s="3" customFormat="1" outlineLevel="1" x14ac:dyDescent="0.25">
      <c r="B135" s="52" t="s">
        <v>288</v>
      </c>
      <c r="C135" s="56" t="s">
        <v>22</v>
      </c>
      <c r="D135" s="4"/>
      <c r="E135" s="4"/>
      <c r="F135" s="4"/>
      <c r="G135" s="172">
        <f t="shared" si="345"/>
        <v>0</v>
      </c>
      <c r="H135" s="282">
        <f t="shared" si="346"/>
        <v>0</v>
      </c>
      <c r="I135" s="4"/>
      <c r="J135" s="172">
        <f t="shared" si="347"/>
        <v>0</v>
      </c>
      <c r="K135" s="282">
        <f t="shared" si="348"/>
        <v>0</v>
      </c>
      <c r="L135" s="4"/>
      <c r="M135" s="172">
        <f t="shared" si="349"/>
        <v>0</v>
      </c>
      <c r="N135" s="282">
        <f t="shared" si="350"/>
        <v>0</v>
      </c>
      <c r="O135" s="4"/>
      <c r="P135" s="158"/>
      <c r="Q135" s="283"/>
      <c r="R135" s="4"/>
      <c r="S135" s="172">
        <f t="shared" si="351"/>
        <v>0</v>
      </c>
      <c r="T135" s="282">
        <f t="shared" si="352"/>
        <v>0</v>
      </c>
      <c r="U135" s="181">
        <f t="shared" si="353"/>
        <v>0</v>
      </c>
      <c r="V135" s="192">
        <f t="shared" si="354"/>
        <v>0</v>
      </c>
      <c r="X135" s="172">
        <f t="shared" si="367"/>
        <v>1</v>
      </c>
      <c r="Y135" s="4">
        <f>'Ανάλυση για νέους πελάτες'!D98</f>
        <v>1</v>
      </c>
      <c r="Z135" s="4"/>
      <c r="AA135" s="172">
        <f t="shared" si="355"/>
        <v>1</v>
      </c>
      <c r="AB135" s="282">
        <f t="shared" si="356"/>
        <v>0</v>
      </c>
      <c r="AC135" s="172">
        <f t="shared" si="368"/>
        <v>2</v>
      </c>
      <c r="AD135" s="4">
        <f>'Ανάλυση για νέους πελάτες'!E98</f>
        <v>2</v>
      </c>
      <c r="AE135" s="4"/>
      <c r="AF135" s="172">
        <f t="shared" si="357"/>
        <v>3</v>
      </c>
      <c r="AG135" s="284">
        <f t="shared" si="358"/>
        <v>2</v>
      </c>
      <c r="AH135" s="172">
        <f t="shared" si="369"/>
        <v>2</v>
      </c>
      <c r="AI135" s="4">
        <f>'Ανάλυση για νέους πελάτες'!F98</f>
        <v>2</v>
      </c>
      <c r="AJ135" s="4"/>
      <c r="AK135" s="172">
        <f t="shared" si="359"/>
        <v>5</v>
      </c>
      <c r="AL135" s="284">
        <f t="shared" si="360"/>
        <v>0.66666666666666663</v>
      </c>
      <c r="AM135" s="172">
        <f t="shared" si="370"/>
        <v>1</v>
      </c>
      <c r="AN135" s="4">
        <f>'Ανάλυση για νέους πελάτες'!G98</f>
        <v>1</v>
      </c>
      <c r="AO135" s="4"/>
      <c r="AP135" s="172">
        <f t="shared" si="361"/>
        <v>6</v>
      </c>
      <c r="AQ135" s="284">
        <f t="shared" si="362"/>
        <v>0.2</v>
      </c>
      <c r="AR135" s="172">
        <f t="shared" si="371"/>
        <v>0</v>
      </c>
      <c r="AS135" s="4">
        <f>'Ανάλυση για νέους πελάτες'!H98</f>
        <v>0</v>
      </c>
      <c r="AT135" s="4"/>
      <c r="AU135" s="172">
        <f t="shared" si="363"/>
        <v>6</v>
      </c>
      <c r="AV135" s="284">
        <f t="shared" si="364"/>
        <v>0</v>
      </c>
      <c r="AW135" s="181">
        <f t="shared" si="365"/>
        <v>6</v>
      </c>
      <c r="AX135" s="192">
        <f t="shared" si="366"/>
        <v>0.56508458007328732</v>
      </c>
    </row>
    <row r="136" spans="1:50" s="3" customFormat="1" ht="16.5" customHeight="1" outlineLevel="1" x14ac:dyDescent="0.25">
      <c r="B136" s="52" t="s">
        <v>289</v>
      </c>
      <c r="C136" s="56" t="s">
        <v>22</v>
      </c>
      <c r="D136" s="4"/>
      <c r="E136" s="4"/>
      <c r="F136" s="4"/>
      <c r="G136" s="172">
        <f t="shared" si="345"/>
        <v>0</v>
      </c>
      <c r="H136" s="282">
        <f t="shared" si="346"/>
        <v>0</v>
      </c>
      <c r="I136" s="4"/>
      <c r="J136" s="172">
        <f t="shared" si="347"/>
        <v>0</v>
      </c>
      <c r="K136" s="282">
        <f t="shared" si="348"/>
        <v>0</v>
      </c>
      <c r="L136" s="4"/>
      <c r="M136" s="172">
        <f t="shared" si="349"/>
        <v>0</v>
      </c>
      <c r="N136" s="282">
        <f t="shared" si="350"/>
        <v>0</v>
      </c>
      <c r="O136" s="4"/>
      <c r="P136" s="158"/>
      <c r="Q136" s="283"/>
      <c r="R136" s="4"/>
      <c r="S136" s="172">
        <f t="shared" si="351"/>
        <v>0</v>
      </c>
      <c r="T136" s="282">
        <f t="shared" si="352"/>
        <v>0</v>
      </c>
      <c r="U136" s="181">
        <f t="shared" si="353"/>
        <v>0</v>
      </c>
      <c r="V136" s="192">
        <f t="shared" si="354"/>
        <v>0</v>
      </c>
      <c r="X136" s="172">
        <f t="shared" si="367"/>
        <v>1</v>
      </c>
      <c r="Y136" s="4">
        <f>'Ανάλυση για νέους πελάτες'!D99</f>
        <v>1</v>
      </c>
      <c r="Z136" s="4"/>
      <c r="AA136" s="172">
        <f t="shared" si="355"/>
        <v>1</v>
      </c>
      <c r="AB136" s="282">
        <f t="shared" si="356"/>
        <v>0</v>
      </c>
      <c r="AC136" s="172">
        <f t="shared" si="368"/>
        <v>2</v>
      </c>
      <c r="AD136" s="4">
        <f>'Ανάλυση για νέους πελάτες'!E99</f>
        <v>2</v>
      </c>
      <c r="AE136" s="4"/>
      <c r="AF136" s="172">
        <f t="shared" si="357"/>
        <v>3</v>
      </c>
      <c r="AG136" s="284">
        <f t="shared" si="358"/>
        <v>2</v>
      </c>
      <c r="AH136" s="172">
        <f t="shared" si="369"/>
        <v>2</v>
      </c>
      <c r="AI136" s="4">
        <f>'Ανάλυση για νέους πελάτες'!F99</f>
        <v>2</v>
      </c>
      <c r="AJ136" s="4"/>
      <c r="AK136" s="172">
        <f t="shared" si="359"/>
        <v>5</v>
      </c>
      <c r="AL136" s="284">
        <f t="shared" si="360"/>
        <v>0.66666666666666663</v>
      </c>
      <c r="AM136" s="172">
        <f t="shared" si="370"/>
        <v>1</v>
      </c>
      <c r="AN136" s="4">
        <f>'Ανάλυση για νέους πελάτες'!G99</f>
        <v>1</v>
      </c>
      <c r="AO136" s="4"/>
      <c r="AP136" s="172">
        <f t="shared" si="361"/>
        <v>6</v>
      </c>
      <c r="AQ136" s="284">
        <f t="shared" si="362"/>
        <v>0.2</v>
      </c>
      <c r="AR136" s="172">
        <f t="shared" si="371"/>
        <v>1</v>
      </c>
      <c r="AS136" s="4">
        <f>'Ανάλυση για νέους πελάτες'!H99</f>
        <v>1</v>
      </c>
      <c r="AT136" s="4"/>
      <c r="AU136" s="172">
        <f t="shared" si="363"/>
        <v>7</v>
      </c>
      <c r="AV136" s="284">
        <f t="shared" si="364"/>
        <v>0.16666666666666666</v>
      </c>
      <c r="AW136" s="181">
        <f t="shared" si="365"/>
        <v>7</v>
      </c>
      <c r="AX136" s="192">
        <f t="shared" si="366"/>
        <v>0.62657656169778564</v>
      </c>
    </row>
    <row r="137" spans="1:50" s="3" customFormat="1" ht="16.5" customHeight="1" outlineLevel="1" x14ac:dyDescent="0.25">
      <c r="B137" s="52" t="s">
        <v>290</v>
      </c>
      <c r="C137" s="56" t="s">
        <v>22</v>
      </c>
      <c r="D137" s="4"/>
      <c r="E137" s="4"/>
      <c r="F137" s="4"/>
      <c r="G137" s="172">
        <f t="shared" si="345"/>
        <v>0</v>
      </c>
      <c r="H137" s="282">
        <f t="shared" si="346"/>
        <v>0</v>
      </c>
      <c r="I137" s="4"/>
      <c r="J137" s="172">
        <f t="shared" si="347"/>
        <v>0</v>
      </c>
      <c r="K137" s="282">
        <f t="shared" si="348"/>
        <v>0</v>
      </c>
      <c r="L137" s="4"/>
      <c r="M137" s="172">
        <f t="shared" si="349"/>
        <v>0</v>
      </c>
      <c r="N137" s="282">
        <f t="shared" si="350"/>
        <v>0</v>
      </c>
      <c r="O137" s="4"/>
      <c r="P137" s="158"/>
      <c r="Q137" s="283"/>
      <c r="R137" s="4"/>
      <c r="S137" s="172">
        <f t="shared" si="351"/>
        <v>0</v>
      </c>
      <c r="T137" s="282">
        <f t="shared" si="352"/>
        <v>0</v>
      </c>
      <c r="U137" s="181">
        <f t="shared" si="353"/>
        <v>0</v>
      </c>
      <c r="V137" s="192">
        <f t="shared" si="354"/>
        <v>0</v>
      </c>
      <c r="X137" s="172">
        <f t="shared" si="367"/>
        <v>0</v>
      </c>
      <c r="Y137" s="4">
        <f>'Ανάλυση για νέους πελάτες'!D100</f>
        <v>0</v>
      </c>
      <c r="Z137" s="4"/>
      <c r="AA137" s="172">
        <f t="shared" si="355"/>
        <v>0</v>
      </c>
      <c r="AB137" s="282">
        <f t="shared" si="356"/>
        <v>0</v>
      </c>
      <c r="AC137" s="172">
        <f t="shared" si="368"/>
        <v>3</v>
      </c>
      <c r="AD137" s="4">
        <f>'Ανάλυση για νέους πελάτες'!E100</f>
        <v>3</v>
      </c>
      <c r="AE137" s="4"/>
      <c r="AF137" s="172">
        <f t="shared" si="357"/>
        <v>3</v>
      </c>
      <c r="AG137" s="284">
        <f t="shared" si="358"/>
        <v>0</v>
      </c>
      <c r="AH137" s="172">
        <f t="shared" si="369"/>
        <v>3</v>
      </c>
      <c r="AI137" s="4">
        <f>'Ανάλυση για νέους πελάτες'!F100</f>
        <v>3</v>
      </c>
      <c r="AJ137" s="4"/>
      <c r="AK137" s="172">
        <f t="shared" si="359"/>
        <v>6</v>
      </c>
      <c r="AL137" s="284">
        <f t="shared" si="360"/>
        <v>1</v>
      </c>
      <c r="AM137" s="172">
        <f t="shared" si="370"/>
        <v>3</v>
      </c>
      <c r="AN137" s="4">
        <f>'Ανάλυση για νέους πελάτες'!G100</f>
        <v>3</v>
      </c>
      <c r="AO137" s="4"/>
      <c r="AP137" s="172">
        <f t="shared" si="361"/>
        <v>9</v>
      </c>
      <c r="AQ137" s="284">
        <f t="shared" si="362"/>
        <v>0.5</v>
      </c>
      <c r="AR137" s="172">
        <f t="shared" si="371"/>
        <v>1</v>
      </c>
      <c r="AS137" s="4">
        <f>'Ανάλυση για νέους πελάτες'!H100</f>
        <v>1</v>
      </c>
      <c r="AT137" s="4"/>
      <c r="AU137" s="172">
        <f t="shared" si="363"/>
        <v>10</v>
      </c>
      <c r="AV137" s="284">
        <f t="shared" si="364"/>
        <v>0.1111111111111111</v>
      </c>
      <c r="AW137" s="181">
        <f t="shared" si="365"/>
        <v>10</v>
      </c>
      <c r="AX137" s="192">
        <f t="shared" si="366"/>
        <v>0</v>
      </c>
    </row>
    <row r="138" spans="1:50" s="3" customFormat="1" ht="16.5" customHeight="1" outlineLevel="1" x14ac:dyDescent="0.25">
      <c r="B138" s="52" t="s">
        <v>291</v>
      </c>
      <c r="C138" s="56" t="s">
        <v>22</v>
      </c>
      <c r="D138" s="4"/>
      <c r="E138" s="4"/>
      <c r="F138" s="4"/>
      <c r="G138" s="172">
        <f t="shared" si="345"/>
        <v>0</v>
      </c>
      <c r="H138" s="282">
        <f t="shared" si="346"/>
        <v>0</v>
      </c>
      <c r="I138" s="4"/>
      <c r="J138" s="172">
        <f t="shared" si="347"/>
        <v>0</v>
      </c>
      <c r="K138" s="282">
        <f t="shared" si="348"/>
        <v>0</v>
      </c>
      <c r="L138" s="4"/>
      <c r="M138" s="172">
        <f t="shared" si="349"/>
        <v>0</v>
      </c>
      <c r="N138" s="282">
        <f t="shared" si="350"/>
        <v>0</v>
      </c>
      <c r="O138" s="4"/>
      <c r="P138" s="158"/>
      <c r="Q138" s="283"/>
      <c r="R138" s="4"/>
      <c r="S138" s="172">
        <f t="shared" si="351"/>
        <v>0</v>
      </c>
      <c r="T138" s="282">
        <f t="shared" si="352"/>
        <v>0</v>
      </c>
      <c r="U138" s="181">
        <f t="shared" si="353"/>
        <v>0</v>
      </c>
      <c r="V138" s="192">
        <f t="shared" si="354"/>
        <v>0</v>
      </c>
      <c r="X138" s="172">
        <f t="shared" si="367"/>
        <v>0</v>
      </c>
      <c r="Y138" s="4">
        <f>'Ανάλυση για νέους πελάτες'!D101</f>
        <v>0</v>
      </c>
      <c r="Z138" s="4"/>
      <c r="AA138" s="172">
        <f t="shared" si="355"/>
        <v>0</v>
      </c>
      <c r="AB138" s="282">
        <f t="shared" si="356"/>
        <v>0</v>
      </c>
      <c r="AC138" s="172">
        <f t="shared" si="368"/>
        <v>0</v>
      </c>
      <c r="AD138" s="4">
        <f>'Ανάλυση για νέους πελάτες'!E101</f>
        <v>0</v>
      </c>
      <c r="AE138" s="4"/>
      <c r="AF138" s="172">
        <f t="shared" si="357"/>
        <v>0</v>
      </c>
      <c r="AG138" s="284">
        <f t="shared" si="358"/>
        <v>0</v>
      </c>
      <c r="AH138" s="172">
        <f t="shared" si="369"/>
        <v>0</v>
      </c>
      <c r="AI138" s="4">
        <f>'Ανάλυση για νέους πελάτες'!F101</f>
        <v>0</v>
      </c>
      <c r="AJ138" s="4"/>
      <c r="AK138" s="172">
        <f t="shared" si="359"/>
        <v>0</v>
      </c>
      <c r="AL138" s="284">
        <f t="shared" si="360"/>
        <v>0</v>
      </c>
      <c r="AM138" s="172">
        <f t="shared" si="370"/>
        <v>0</v>
      </c>
      <c r="AN138" s="4">
        <f>'Ανάλυση για νέους πελάτες'!G101</f>
        <v>0</v>
      </c>
      <c r="AO138" s="4"/>
      <c r="AP138" s="172">
        <f t="shared" si="361"/>
        <v>0</v>
      </c>
      <c r="AQ138" s="284">
        <f t="shared" si="362"/>
        <v>0</v>
      </c>
      <c r="AR138" s="172">
        <f t="shared" si="371"/>
        <v>0</v>
      </c>
      <c r="AS138" s="4">
        <f>'Ανάλυση για νέους πελάτες'!H101</f>
        <v>0</v>
      </c>
      <c r="AT138" s="4"/>
      <c r="AU138" s="172">
        <f t="shared" si="363"/>
        <v>0</v>
      </c>
      <c r="AV138" s="284">
        <f t="shared" si="364"/>
        <v>0</v>
      </c>
      <c r="AW138" s="181">
        <f t="shared" si="365"/>
        <v>0</v>
      </c>
      <c r="AX138" s="192">
        <f t="shared" si="366"/>
        <v>0</v>
      </c>
    </row>
    <row r="139" spans="1:50" s="3" customFormat="1" ht="16.5" customHeight="1" outlineLevel="1" x14ac:dyDescent="0.25">
      <c r="B139" s="52" t="s">
        <v>307</v>
      </c>
      <c r="C139" s="56" t="s">
        <v>22</v>
      </c>
      <c r="D139" s="4"/>
      <c r="E139" s="4"/>
      <c r="F139" s="4"/>
      <c r="G139" s="172"/>
      <c r="H139" s="282">
        <f t="shared" si="346"/>
        <v>0</v>
      </c>
      <c r="I139" s="4"/>
      <c r="J139" s="172"/>
      <c r="K139" s="282">
        <f t="shared" si="348"/>
        <v>0</v>
      </c>
      <c r="L139" s="4"/>
      <c r="M139" s="172"/>
      <c r="N139" s="282">
        <f t="shared" si="350"/>
        <v>0</v>
      </c>
      <c r="O139" s="4"/>
      <c r="P139" s="158"/>
      <c r="Q139" s="283"/>
      <c r="R139" s="4"/>
      <c r="S139" s="172"/>
      <c r="T139" s="282">
        <f t="shared" si="352"/>
        <v>0</v>
      </c>
      <c r="U139" s="181">
        <f t="shared" si="353"/>
        <v>0</v>
      </c>
      <c r="V139" s="192">
        <f t="shared" si="354"/>
        <v>0</v>
      </c>
      <c r="X139" s="172">
        <f t="shared" ref="X139:X143" si="372">Y139+Z139</f>
        <v>0</v>
      </c>
      <c r="Y139" s="4">
        <f>'Ανάλυση για νέους πελάτες'!D102</f>
        <v>0</v>
      </c>
      <c r="Z139" s="4"/>
      <c r="AA139" s="172">
        <f t="shared" ref="AA139:AA143" si="373">S139+X139</f>
        <v>0</v>
      </c>
      <c r="AB139" s="282">
        <f t="shared" ref="AB139:AB143" si="374">IFERROR((AA139-S139)/S139,0)</f>
        <v>0</v>
      </c>
      <c r="AC139" s="172">
        <f t="shared" ref="AC139:AC143" si="375">AD139+AE139</f>
        <v>0</v>
      </c>
      <c r="AD139" s="4">
        <f>'Ανάλυση για νέους πελάτες'!E102</f>
        <v>0</v>
      </c>
      <c r="AE139" s="4"/>
      <c r="AF139" s="172">
        <f t="shared" ref="AF139:AF143" si="376">AA139+AC139</f>
        <v>0</v>
      </c>
      <c r="AG139" s="284">
        <f t="shared" ref="AG139:AG143" si="377">IFERROR((AF139-AA139)/AA139,0)</f>
        <v>0</v>
      </c>
      <c r="AH139" s="172">
        <f t="shared" ref="AH139:AH143" si="378">AI139+AJ139</f>
        <v>0</v>
      </c>
      <c r="AI139" s="4">
        <f>'Ανάλυση για νέους πελάτες'!F102</f>
        <v>0</v>
      </c>
      <c r="AJ139" s="4"/>
      <c r="AK139" s="172">
        <f t="shared" ref="AK139:AK143" si="379">AF139+AH139</f>
        <v>0</v>
      </c>
      <c r="AL139" s="284">
        <f t="shared" ref="AL139:AL143" si="380">IFERROR((AK139-AF139)/AF139,0)</f>
        <v>0</v>
      </c>
      <c r="AM139" s="172">
        <f t="shared" ref="AM139:AM143" si="381">AN139+AO139</f>
        <v>0</v>
      </c>
      <c r="AN139" s="4">
        <f>'Ανάλυση για νέους πελάτες'!G102</f>
        <v>0</v>
      </c>
      <c r="AO139" s="4"/>
      <c r="AP139" s="172">
        <f t="shared" ref="AP139:AP143" si="382">AK139+AM139</f>
        <v>0</v>
      </c>
      <c r="AQ139" s="284">
        <f t="shared" ref="AQ139:AQ143" si="383">IFERROR((AP139-AK139)/AK139,0)</f>
        <v>0</v>
      </c>
      <c r="AR139" s="172">
        <f t="shared" ref="AR139:AR143" si="384">AS139+AT139</f>
        <v>0</v>
      </c>
      <c r="AS139" s="4">
        <f>'Ανάλυση για νέους πελάτες'!H102</f>
        <v>0</v>
      </c>
      <c r="AT139" s="4"/>
      <c r="AU139" s="172">
        <f t="shared" ref="AU139:AU143" si="385">AP139+AR139</f>
        <v>0</v>
      </c>
      <c r="AV139" s="284">
        <f t="shared" ref="AV139:AV143" si="386">IFERROR((AU139-AP139)/AP139,0)</f>
        <v>0</v>
      </c>
      <c r="AW139" s="181">
        <f t="shared" ref="AW139:AW143" si="387">X139+AC139+AH139+AM139+AR139</f>
        <v>0</v>
      </c>
      <c r="AX139" s="192">
        <f t="shared" si="366"/>
        <v>0</v>
      </c>
    </row>
    <row r="140" spans="1:50" s="3" customFormat="1" ht="16.5" customHeight="1" outlineLevel="1" x14ac:dyDescent="0.25">
      <c r="B140" s="52" t="s">
        <v>304</v>
      </c>
      <c r="C140" s="56" t="s">
        <v>22</v>
      </c>
      <c r="D140" s="4"/>
      <c r="E140" s="4"/>
      <c r="F140" s="4"/>
      <c r="G140" s="172"/>
      <c r="H140" s="282">
        <f t="shared" si="346"/>
        <v>0</v>
      </c>
      <c r="I140" s="4"/>
      <c r="J140" s="172"/>
      <c r="K140" s="282">
        <f t="shared" si="348"/>
        <v>0</v>
      </c>
      <c r="L140" s="4"/>
      <c r="M140" s="172"/>
      <c r="N140" s="282">
        <f t="shared" si="350"/>
        <v>0</v>
      </c>
      <c r="O140" s="4"/>
      <c r="P140" s="158"/>
      <c r="Q140" s="283"/>
      <c r="R140" s="4"/>
      <c r="S140" s="172"/>
      <c r="T140" s="282">
        <f t="shared" si="352"/>
        <v>0</v>
      </c>
      <c r="U140" s="181">
        <f t="shared" si="353"/>
        <v>0</v>
      </c>
      <c r="V140" s="192">
        <f t="shared" si="354"/>
        <v>0</v>
      </c>
      <c r="X140" s="172">
        <f t="shared" si="372"/>
        <v>0</v>
      </c>
      <c r="Y140" s="4">
        <f>'Ανάλυση για νέους πελάτες'!D103</f>
        <v>0</v>
      </c>
      <c r="Z140" s="4"/>
      <c r="AA140" s="172">
        <f t="shared" si="373"/>
        <v>0</v>
      </c>
      <c r="AB140" s="282">
        <f t="shared" si="374"/>
        <v>0</v>
      </c>
      <c r="AC140" s="172">
        <f t="shared" si="375"/>
        <v>0</v>
      </c>
      <c r="AD140" s="4">
        <f>'Ανάλυση για νέους πελάτες'!E103</f>
        <v>0</v>
      </c>
      <c r="AE140" s="4"/>
      <c r="AF140" s="172">
        <f t="shared" si="376"/>
        <v>0</v>
      </c>
      <c r="AG140" s="284">
        <f t="shared" si="377"/>
        <v>0</v>
      </c>
      <c r="AH140" s="172">
        <f t="shared" si="378"/>
        <v>0</v>
      </c>
      <c r="AI140" s="4">
        <f>'Ανάλυση για νέους πελάτες'!F103</f>
        <v>0</v>
      </c>
      <c r="AJ140" s="4"/>
      <c r="AK140" s="172">
        <f t="shared" si="379"/>
        <v>0</v>
      </c>
      <c r="AL140" s="284">
        <f t="shared" si="380"/>
        <v>0</v>
      </c>
      <c r="AM140" s="172">
        <f t="shared" si="381"/>
        <v>0</v>
      </c>
      <c r="AN140" s="4">
        <f>'Ανάλυση για νέους πελάτες'!G103</f>
        <v>0</v>
      </c>
      <c r="AO140" s="4"/>
      <c r="AP140" s="172">
        <f t="shared" si="382"/>
        <v>0</v>
      </c>
      <c r="AQ140" s="284">
        <f t="shared" si="383"/>
        <v>0</v>
      </c>
      <c r="AR140" s="172">
        <f t="shared" si="384"/>
        <v>0</v>
      </c>
      <c r="AS140" s="4">
        <f>'Ανάλυση για νέους πελάτες'!H103</f>
        <v>0</v>
      </c>
      <c r="AT140" s="4"/>
      <c r="AU140" s="172">
        <f t="shared" si="385"/>
        <v>0</v>
      </c>
      <c r="AV140" s="284">
        <f t="shared" si="386"/>
        <v>0</v>
      </c>
      <c r="AW140" s="181">
        <f t="shared" si="387"/>
        <v>0</v>
      </c>
      <c r="AX140" s="192">
        <f t="shared" si="366"/>
        <v>0</v>
      </c>
    </row>
    <row r="141" spans="1:50" s="3" customFormat="1" ht="16.5" customHeight="1" outlineLevel="1" x14ac:dyDescent="0.25">
      <c r="B141" s="52" t="s">
        <v>305</v>
      </c>
      <c r="C141" s="56" t="s">
        <v>22</v>
      </c>
      <c r="D141" s="4"/>
      <c r="E141" s="4"/>
      <c r="F141" s="4"/>
      <c r="G141" s="172"/>
      <c r="H141" s="282">
        <f t="shared" si="346"/>
        <v>0</v>
      </c>
      <c r="I141" s="4"/>
      <c r="J141" s="172"/>
      <c r="K141" s="282">
        <f t="shared" si="348"/>
        <v>0</v>
      </c>
      <c r="L141" s="4"/>
      <c r="M141" s="172"/>
      <c r="N141" s="282">
        <f t="shared" si="350"/>
        <v>0</v>
      </c>
      <c r="O141" s="4"/>
      <c r="P141" s="158"/>
      <c r="Q141" s="283"/>
      <c r="R141" s="4"/>
      <c r="S141" s="172"/>
      <c r="T141" s="282">
        <f t="shared" si="352"/>
        <v>0</v>
      </c>
      <c r="U141" s="181">
        <f t="shared" si="353"/>
        <v>0</v>
      </c>
      <c r="V141" s="192">
        <f t="shared" si="354"/>
        <v>0</v>
      </c>
      <c r="X141" s="172">
        <f t="shared" si="372"/>
        <v>0</v>
      </c>
      <c r="Y141" s="4">
        <f>'Ανάλυση για νέους πελάτες'!D104</f>
        <v>0</v>
      </c>
      <c r="Z141" s="4"/>
      <c r="AA141" s="172">
        <f t="shared" si="373"/>
        <v>0</v>
      </c>
      <c r="AB141" s="282">
        <f t="shared" si="374"/>
        <v>0</v>
      </c>
      <c r="AC141" s="172">
        <f t="shared" si="375"/>
        <v>0</v>
      </c>
      <c r="AD141" s="4">
        <f>'Ανάλυση για νέους πελάτες'!E104</f>
        <v>0</v>
      </c>
      <c r="AE141" s="4"/>
      <c r="AF141" s="172">
        <f t="shared" si="376"/>
        <v>0</v>
      </c>
      <c r="AG141" s="284">
        <f t="shared" si="377"/>
        <v>0</v>
      </c>
      <c r="AH141" s="172">
        <f t="shared" si="378"/>
        <v>0</v>
      </c>
      <c r="AI141" s="4">
        <f>'Ανάλυση για νέους πελάτες'!F104</f>
        <v>0</v>
      </c>
      <c r="AJ141" s="4"/>
      <c r="AK141" s="172">
        <f t="shared" si="379"/>
        <v>0</v>
      </c>
      <c r="AL141" s="284">
        <f t="shared" si="380"/>
        <v>0</v>
      </c>
      <c r="AM141" s="172">
        <f t="shared" si="381"/>
        <v>0</v>
      </c>
      <c r="AN141" s="4">
        <f>'Ανάλυση για νέους πελάτες'!G104</f>
        <v>0</v>
      </c>
      <c r="AO141" s="4"/>
      <c r="AP141" s="172">
        <f t="shared" si="382"/>
        <v>0</v>
      </c>
      <c r="AQ141" s="284">
        <f t="shared" si="383"/>
        <v>0</v>
      </c>
      <c r="AR141" s="172">
        <f t="shared" si="384"/>
        <v>0</v>
      </c>
      <c r="AS141" s="4">
        <f>'Ανάλυση για νέους πελάτες'!H104</f>
        <v>0</v>
      </c>
      <c r="AT141" s="4"/>
      <c r="AU141" s="172">
        <f t="shared" si="385"/>
        <v>0</v>
      </c>
      <c r="AV141" s="284">
        <f t="shared" si="386"/>
        <v>0</v>
      </c>
      <c r="AW141" s="181">
        <f t="shared" si="387"/>
        <v>0</v>
      </c>
      <c r="AX141" s="192">
        <f t="shared" si="366"/>
        <v>0</v>
      </c>
    </row>
    <row r="142" spans="1:50" s="3" customFormat="1" ht="16.5" customHeight="1" outlineLevel="1" x14ac:dyDescent="0.25">
      <c r="B142" s="52" t="s">
        <v>306</v>
      </c>
      <c r="C142" s="56" t="s">
        <v>22</v>
      </c>
      <c r="D142" s="4"/>
      <c r="E142" s="4"/>
      <c r="F142" s="4"/>
      <c r="G142" s="172"/>
      <c r="H142" s="282">
        <f t="shared" si="346"/>
        <v>0</v>
      </c>
      <c r="I142" s="4"/>
      <c r="J142" s="172"/>
      <c r="K142" s="282">
        <f t="shared" si="348"/>
        <v>0</v>
      </c>
      <c r="L142" s="4"/>
      <c r="M142" s="172"/>
      <c r="N142" s="282">
        <f t="shared" si="350"/>
        <v>0</v>
      </c>
      <c r="O142" s="4"/>
      <c r="P142" s="158"/>
      <c r="Q142" s="283"/>
      <c r="R142" s="4"/>
      <c r="S142" s="172"/>
      <c r="T142" s="282">
        <f t="shared" si="352"/>
        <v>0</v>
      </c>
      <c r="U142" s="181">
        <f t="shared" si="353"/>
        <v>0</v>
      </c>
      <c r="V142" s="192">
        <f t="shared" si="354"/>
        <v>0</v>
      </c>
      <c r="X142" s="172">
        <f t="shared" si="372"/>
        <v>0</v>
      </c>
      <c r="Y142" s="4">
        <f>'Ανάλυση για νέους πελάτες'!D105</f>
        <v>0</v>
      </c>
      <c r="Z142" s="4"/>
      <c r="AA142" s="172">
        <f t="shared" si="373"/>
        <v>0</v>
      </c>
      <c r="AB142" s="282">
        <f t="shared" si="374"/>
        <v>0</v>
      </c>
      <c r="AC142" s="172">
        <f t="shared" si="375"/>
        <v>1</v>
      </c>
      <c r="AD142" s="4">
        <f>'Ανάλυση για νέους πελάτες'!E105</f>
        <v>1</v>
      </c>
      <c r="AE142" s="4"/>
      <c r="AF142" s="172">
        <f t="shared" si="376"/>
        <v>1</v>
      </c>
      <c r="AG142" s="284">
        <f t="shared" si="377"/>
        <v>0</v>
      </c>
      <c r="AH142" s="172">
        <f t="shared" si="378"/>
        <v>1</v>
      </c>
      <c r="AI142" s="4">
        <f>'Ανάλυση για νέους πελάτες'!F105</f>
        <v>1</v>
      </c>
      <c r="AJ142" s="4"/>
      <c r="AK142" s="172">
        <f t="shared" si="379"/>
        <v>2</v>
      </c>
      <c r="AL142" s="284">
        <f t="shared" si="380"/>
        <v>1</v>
      </c>
      <c r="AM142" s="172">
        <f t="shared" si="381"/>
        <v>0</v>
      </c>
      <c r="AN142" s="4">
        <f>'Ανάλυση για νέους πελάτες'!G105</f>
        <v>0</v>
      </c>
      <c r="AO142" s="4"/>
      <c r="AP142" s="172">
        <f t="shared" si="382"/>
        <v>2</v>
      </c>
      <c r="AQ142" s="284">
        <f t="shared" si="383"/>
        <v>0</v>
      </c>
      <c r="AR142" s="172">
        <f t="shared" si="384"/>
        <v>0</v>
      </c>
      <c r="AS142" s="4">
        <f>'Ανάλυση για νέους πελάτες'!H105</f>
        <v>0</v>
      </c>
      <c r="AT142" s="4"/>
      <c r="AU142" s="172">
        <f t="shared" si="385"/>
        <v>2</v>
      </c>
      <c r="AV142" s="284">
        <f t="shared" si="386"/>
        <v>0</v>
      </c>
      <c r="AW142" s="181">
        <f t="shared" si="387"/>
        <v>2</v>
      </c>
      <c r="AX142" s="192">
        <f t="shared" si="366"/>
        <v>0</v>
      </c>
    </row>
    <row r="143" spans="1:50" s="3" customFormat="1" ht="16.5" customHeight="1" outlineLevel="1" x14ac:dyDescent="0.25">
      <c r="B143" s="52" t="s">
        <v>308</v>
      </c>
      <c r="C143" s="56" t="s">
        <v>22</v>
      </c>
      <c r="D143" s="4"/>
      <c r="E143" s="4"/>
      <c r="F143" s="4"/>
      <c r="G143" s="172"/>
      <c r="H143" s="282">
        <f t="shared" si="346"/>
        <v>0</v>
      </c>
      <c r="I143" s="4"/>
      <c r="J143" s="172"/>
      <c r="K143" s="282">
        <f t="shared" si="348"/>
        <v>0</v>
      </c>
      <c r="L143" s="4"/>
      <c r="M143" s="172"/>
      <c r="N143" s="282">
        <f t="shared" si="350"/>
        <v>0</v>
      </c>
      <c r="O143" s="4"/>
      <c r="P143" s="158"/>
      <c r="Q143" s="283"/>
      <c r="R143" s="4"/>
      <c r="S143" s="172"/>
      <c r="T143" s="282">
        <f t="shared" si="352"/>
        <v>0</v>
      </c>
      <c r="U143" s="181">
        <f t="shared" si="353"/>
        <v>0</v>
      </c>
      <c r="V143" s="192">
        <f t="shared" si="354"/>
        <v>0</v>
      </c>
      <c r="X143" s="172">
        <f t="shared" si="372"/>
        <v>0</v>
      </c>
      <c r="Y143" s="4">
        <f>'Ανάλυση για νέους πελάτες'!D106</f>
        <v>0</v>
      </c>
      <c r="Z143" s="4"/>
      <c r="AA143" s="172">
        <f t="shared" si="373"/>
        <v>0</v>
      </c>
      <c r="AB143" s="282">
        <f t="shared" si="374"/>
        <v>0</v>
      </c>
      <c r="AC143" s="172">
        <f t="shared" si="375"/>
        <v>0</v>
      </c>
      <c r="AD143" s="4">
        <f>'Ανάλυση για νέους πελάτες'!E106</f>
        <v>0</v>
      </c>
      <c r="AE143" s="4"/>
      <c r="AF143" s="172">
        <f t="shared" si="376"/>
        <v>0</v>
      </c>
      <c r="AG143" s="284">
        <f t="shared" si="377"/>
        <v>0</v>
      </c>
      <c r="AH143" s="172">
        <f t="shared" si="378"/>
        <v>0</v>
      </c>
      <c r="AI143" s="4">
        <f>'Ανάλυση για νέους πελάτες'!F106</f>
        <v>0</v>
      </c>
      <c r="AJ143" s="4"/>
      <c r="AK143" s="172">
        <f t="shared" si="379"/>
        <v>0</v>
      </c>
      <c r="AL143" s="284">
        <f t="shared" si="380"/>
        <v>0</v>
      </c>
      <c r="AM143" s="172">
        <f t="shared" si="381"/>
        <v>0</v>
      </c>
      <c r="AN143" s="4">
        <f>'Ανάλυση για νέους πελάτες'!G106</f>
        <v>0</v>
      </c>
      <c r="AO143" s="4"/>
      <c r="AP143" s="172">
        <f t="shared" si="382"/>
        <v>0</v>
      </c>
      <c r="AQ143" s="284">
        <f t="shared" si="383"/>
        <v>0</v>
      </c>
      <c r="AR143" s="172">
        <f t="shared" si="384"/>
        <v>0</v>
      </c>
      <c r="AS143" s="4">
        <f>'Ανάλυση για νέους πελάτες'!H106</f>
        <v>0</v>
      </c>
      <c r="AT143" s="4"/>
      <c r="AU143" s="172">
        <f t="shared" si="385"/>
        <v>0</v>
      </c>
      <c r="AV143" s="284">
        <f t="shared" si="386"/>
        <v>0</v>
      </c>
      <c r="AW143" s="181">
        <f t="shared" si="387"/>
        <v>0</v>
      </c>
      <c r="AX143" s="192">
        <f t="shared" si="366"/>
        <v>0</v>
      </c>
    </row>
    <row r="144" spans="1:50" s="3" customFormat="1" ht="16.5" customHeight="1" outlineLevel="1" x14ac:dyDescent="0.25">
      <c r="B144" s="52"/>
      <c r="C144" s="56"/>
      <c r="D144" s="4"/>
      <c r="E144" s="4"/>
      <c r="F144" s="4"/>
      <c r="G144" s="172"/>
      <c r="H144" s="282">
        <f t="shared" si="346"/>
        <v>0</v>
      </c>
      <c r="I144" s="4"/>
      <c r="J144" s="172"/>
      <c r="K144" s="282">
        <f t="shared" si="348"/>
        <v>0</v>
      </c>
      <c r="L144" s="4"/>
      <c r="M144" s="172"/>
      <c r="N144" s="282">
        <f t="shared" si="350"/>
        <v>0</v>
      </c>
      <c r="O144" s="4"/>
      <c r="P144" s="158"/>
      <c r="Q144" s="283"/>
      <c r="R144" s="4"/>
      <c r="S144" s="172"/>
      <c r="T144" s="282">
        <f t="shared" si="352"/>
        <v>0</v>
      </c>
      <c r="U144" s="181">
        <f t="shared" si="353"/>
        <v>0</v>
      </c>
      <c r="V144" s="192">
        <f t="shared" si="354"/>
        <v>0</v>
      </c>
      <c r="X144" s="172"/>
      <c r="Y144" s="4"/>
      <c r="Z144" s="4"/>
      <c r="AA144" s="172"/>
      <c r="AB144" s="282">
        <f t="shared" si="356"/>
        <v>0</v>
      </c>
      <c r="AC144" s="172"/>
      <c r="AD144" s="4"/>
      <c r="AE144" s="4"/>
      <c r="AF144" s="172"/>
      <c r="AG144" s="284">
        <f t="shared" si="358"/>
        <v>0</v>
      </c>
      <c r="AH144" s="172"/>
      <c r="AI144" s="4"/>
      <c r="AJ144" s="4"/>
      <c r="AK144" s="172"/>
      <c r="AL144" s="284">
        <f t="shared" si="360"/>
        <v>0</v>
      </c>
      <c r="AM144" s="172"/>
      <c r="AN144" s="4"/>
      <c r="AO144" s="4"/>
      <c r="AP144" s="172"/>
      <c r="AQ144" s="284">
        <f t="shared" si="362"/>
        <v>0</v>
      </c>
      <c r="AR144" s="172"/>
      <c r="AS144" s="4"/>
      <c r="AT144" s="4"/>
      <c r="AU144" s="172"/>
      <c r="AV144" s="284">
        <f t="shared" si="364"/>
        <v>0</v>
      </c>
      <c r="AW144" s="181"/>
      <c r="AX144" s="192">
        <f t="shared" si="366"/>
        <v>0</v>
      </c>
    </row>
    <row r="145" spans="1:50" s="3" customFormat="1" ht="15" customHeight="1" outlineLevel="1" x14ac:dyDescent="0.25">
      <c r="B145" s="404" t="s">
        <v>90</v>
      </c>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c r="AP145" s="404"/>
      <c r="AQ145" s="404"/>
      <c r="AR145" s="404"/>
      <c r="AS145" s="404"/>
      <c r="AT145" s="404"/>
      <c r="AU145" s="404"/>
      <c r="AV145" s="404"/>
      <c r="AW145" s="404"/>
      <c r="AX145" s="404"/>
    </row>
    <row r="146" spans="1:50" s="3" customFormat="1" ht="15" customHeight="1" outlineLevel="1" x14ac:dyDescent="0.25">
      <c r="B146" s="52" t="s">
        <v>82</v>
      </c>
      <c r="C146" s="56" t="s">
        <v>22</v>
      </c>
      <c r="D146" s="172">
        <f>SUM(D130:D144)</f>
        <v>0</v>
      </c>
      <c r="E146" s="172">
        <f>SUM(E130:E144)</f>
        <v>0</v>
      </c>
      <c r="F146" s="172">
        <f>SUM(F130:F144)</f>
        <v>0</v>
      </c>
      <c r="G146" s="172">
        <f>SUM(G130:G144)</f>
        <v>0</v>
      </c>
      <c r="H146" s="282">
        <f>IFERROR((G146-E146)/E146,0)</f>
        <v>0</v>
      </c>
      <c r="I146" s="172">
        <f>SUM(I130:I144)</f>
        <v>0</v>
      </c>
      <c r="J146" s="172">
        <f>SUM(J130:J144)</f>
        <v>0</v>
      </c>
      <c r="K146" s="282">
        <f t="shared" ref="K146" si="388">IFERROR((J146-G146)/G146,0)</f>
        <v>0</v>
      </c>
      <c r="L146" s="172">
        <f>SUM(L130:L144)</f>
        <v>0</v>
      </c>
      <c r="M146" s="172">
        <f>SUM(M130:M144)</f>
        <v>0</v>
      </c>
      <c r="N146" s="282">
        <f t="shared" ref="N146" si="389">IFERROR((M146-J146)/J146,0)</f>
        <v>0</v>
      </c>
      <c r="O146" s="172">
        <f>SUM(O130:O144)</f>
        <v>0</v>
      </c>
      <c r="P146" s="172"/>
      <c r="Q146" s="282"/>
      <c r="R146" s="172">
        <f>SUM(R130:R144)</f>
        <v>0</v>
      </c>
      <c r="S146" s="172">
        <f>SUM(S130:S144)</f>
        <v>0</v>
      </c>
      <c r="T146" s="282">
        <f>IFERROR((S146-M146)/M146,0)</f>
        <v>0</v>
      </c>
      <c r="U146" s="181">
        <f>D146+F146+I146+L146+R146</f>
        <v>0</v>
      </c>
      <c r="V146" s="192">
        <f>IFERROR((S146/E146)^(1/4)-1,0)</f>
        <v>0</v>
      </c>
      <c r="X146" s="187">
        <f>SUM(X130:X144)</f>
        <v>2</v>
      </c>
      <c r="Y146" s="187">
        <f>SUM(Y130:Y144)</f>
        <v>2</v>
      </c>
      <c r="Z146" s="187">
        <f>SUM(Z130:Z144)</f>
        <v>0</v>
      </c>
      <c r="AA146" s="187">
        <f>SUM(AA130:AA144)</f>
        <v>2</v>
      </c>
      <c r="AB146" s="282">
        <f>IFERROR((AA146-S146)/S146,0)</f>
        <v>0</v>
      </c>
      <c r="AC146" s="187">
        <f>SUM(AC130:AC144)</f>
        <v>14</v>
      </c>
      <c r="AD146" s="187">
        <f>SUM(AD130:AD144)</f>
        <v>14</v>
      </c>
      <c r="AE146" s="187">
        <f>SUM(AE130:AE144)</f>
        <v>0</v>
      </c>
      <c r="AF146" s="187">
        <f>SUM(AF130:AF144)</f>
        <v>16</v>
      </c>
      <c r="AG146" s="284">
        <f>IFERROR((AF146-AA146)/AA146,0)</f>
        <v>7</v>
      </c>
      <c r="AH146" s="187">
        <f>SUM(AH130:AH144)</f>
        <v>12</v>
      </c>
      <c r="AI146" s="187">
        <f>SUM(AI130:AI144)</f>
        <v>12</v>
      </c>
      <c r="AJ146" s="187">
        <f>SUM(AJ130:AJ144)</f>
        <v>0</v>
      </c>
      <c r="AK146" s="187">
        <f>SUM(AK130:AK144)</f>
        <v>28</v>
      </c>
      <c r="AL146" s="284">
        <f t="shared" ref="AL146" si="390">IFERROR((AK146-AF146)/AF146,0)</f>
        <v>0.75</v>
      </c>
      <c r="AM146" s="187">
        <f>SUM(AM130:AM144)</f>
        <v>9</v>
      </c>
      <c r="AN146" s="187">
        <f>SUM(AN130:AN144)</f>
        <v>9</v>
      </c>
      <c r="AO146" s="187">
        <f>SUM(AO130:AO144)</f>
        <v>0</v>
      </c>
      <c r="AP146" s="187">
        <f>SUM(AP130:AP144)</f>
        <v>37</v>
      </c>
      <c r="AQ146" s="284">
        <f t="shared" ref="AQ146" si="391">IFERROR((AP146-AK146)/AK146,0)</f>
        <v>0.32142857142857145</v>
      </c>
      <c r="AR146" s="187">
        <f>SUM(AR130:AR144)</f>
        <v>4</v>
      </c>
      <c r="AS146" s="187">
        <f>SUM(AS130:AS144)</f>
        <v>4</v>
      </c>
      <c r="AT146" s="187">
        <f>SUM(AT130:AT144)</f>
        <v>0</v>
      </c>
      <c r="AU146" s="187">
        <f>SUM(AU130:AU144)</f>
        <v>41</v>
      </c>
      <c r="AV146" s="284">
        <f t="shared" ref="AV146" si="392">IFERROR((AU146-AP146)/AP146,0)</f>
        <v>0.10810810810810811</v>
      </c>
      <c r="AW146" s="187">
        <f>SUM(AW130:AW144)</f>
        <v>41</v>
      </c>
      <c r="AX146" s="192">
        <f t="shared" ref="AX146" si="393">IFERROR((AU146/AA146)^(1/4)-1,0)</f>
        <v>1.1278375335228743</v>
      </c>
    </row>
    <row r="147" spans="1:50" ht="15" customHeight="1" x14ac:dyDescent="0.25"/>
    <row r="148" spans="1:50" ht="15.75" x14ac:dyDescent="0.25">
      <c r="B148" s="352" t="s">
        <v>12</v>
      </c>
      <c r="C148" s="35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row>
    <row r="149" spans="1:50" ht="5.45" customHeight="1" outlineLevel="1" x14ac:dyDescent="0.2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row>
    <row r="150" spans="1:50" outlineLevel="1" x14ac:dyDescent="0.25">
      <c r="B150" s="393"/>
      <c r="C150" s="385" t="s">
        <v>20</v>
      </c>
      <c r="D150" s="372" t="s">
        <v>262</v>
      </c>
      <c r="E150" s="373"/>
      <c r="F150" s="373"/>
      <c r="G150" s="373"/>
      <c r="H150" s="373"/>
      <c r="I150" s="373"/>
      <c r="J150" s="373"/>
      <c r="K150" s="373"/>
      <c r="L150" s="373"/>
      <c r="M150" s="373"/>
      <c r="N150" s="373"/>
      <c r="O150" s="373"/>
      <c r="P150" s="373"/>
      <c r="Q150" s="374"/>
      <c r="R150" s="372" t="s">
        <v>260</v>
      </c>
      <c r="S150" s="373"/>
      <c r="T150" s="374"/>
      <c r="U150" s="388" t="str">
        <f xml:space="preserve"> D151&amp;" - "&amp;R151</f>
        <v>2018 - 2022</v>
      </c>
      <c r="V150" s="398"/>
      <c r="X150" s="372" t="s">
        <v>261</v>
      </c>
      <c r="Y150" s="373"/>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4"/>
    </row>
    <row r="151" spans="1:50" outlineLevel="1" x14ac:dyDescent="0.25">
      <c r="B151" s="394"/>
      <c r="C151" s="386"/>
      <c r="D151" s="372">
        <f>$C$3-5</f>
        <v>2018</v>
      </c>
      <c r="E151" s="374"/>
      <c r="F151" s="372">
        <f>$C$3-4</f>
        <v>2019</v>
      </c>
      <c r="G151" s="373"/>
      <c r="H151" s="374"/>
      <c r="I151" s="372">
        <f>$C$3-3</f>
        <v>2020</v>
      </c>
      <c r="J151" s="373"/>
      <c r="K151" s="374"/>
      <c r="L151" s="372">
        <f>$C$3-2</f>
        <v>2021</v>
      </c>
      <c r="M151" s="373"/>
      <c r="N151" s="374"/>
      <c r="O151" s="372" t="str">
        <f>$C$3-1&amp;""&amp;" ("&amp;"Σεπτ"&amp;")"</f>
        <v>2022 (Σεπτ)</v>
      </c>
      <c r="P151" s="373"/>
      <c r="Q151" s="374"/>
      <c r="R151" s="372">
        <f>$C$3-1</f>
        <v>2022</v>
      </c>
      <c r="S151" s="373"/>
      <c r="T151" s="374"/>
      <c r="U151" s="390"/>
      <c r="V151" s="399"/>
      <c r="X151" s="372">
        <f>$C$3</f>
        <v>2023</v>
      </c>
      <c r="Y151" s="373"/>
      <c r="Z151" s="373"/>
      <c r="AA151" s="373"/>
      <c r="AB151" s="374"/>
      <c r="AC151" s="372">
        <f>$C$3+1</f>
        <v>2024</v>
      </c>
      <c r="AD151" s="373"/>
      <c r="AE151" s="373"/>
      <c r="AF151" s="373"/>
      <c r="AG151" s="374"/>
      <c r="AH151" s="372">
        <f>$C$3+2</f>
        <v>2025</v>
      </c>
      <c r="AI151" s="373"/>
      <c r="AJ151" s="373"/>
      <c r="AK151" s="373"/>
      <c r="AL151" s="374"/>
      <c r="AM151" s="372">
        <f>$C$3+3</f>
        <v>2026</v>
      </c>
      <c r="AN151" s="373"/>
      <c r="AO151" s="373"/>
      <c r="AP151" s="373"/>
      <c r="AQ151" s="374"/>
      <c r="AR151" s="372">
        <f>$C$3+4</f>
        <v>2027</v>
      </c>
      <c r="AS151" s="373"/>
      <c r="AT151" s="373"/>
      <c r="AU151" s="373"/>
      <c r="AV151" s="374"/>
      <c r="AW151" s="376" t="str">
        <f>X151&amp;" - "&amp;AR151</f>
        <v>2023 - 2027</v>
      </c>
      <c r="AX151" s="392"/>
    </row>
    <row r="152" spans="1:50" ht="45" outlineLevel="1" x14ac:dyDescent="0.25">
      <c r="B152" s="395"/>
      <c r="C152" s="387"/>
      <c r="D152" s="67" t="s">
        <v>6</v>
      </c>
      <c r="E152" s="68" t="s">
        <v>7</v>
      </c>
      <c r="F152" s="67" t="s">
        <v>6</v>
      </c>
      <c r="G152" s="9" t="s">
        <v>7</v>
      </c>
      <c r="H152" s="68" t="s">
        <v>81</v>
      </c>
      <c r="I152" s="67" t="s">
        <v>6</v>
      </c>
      <c r="J152" s="9" t="s">
        <v>7</v>
      </c>
      <c r="K152" s="68" t="s">
        <v>81</v>
      </c>
      <c r="L152" s="67" t="s">
        <v>6</v>
      </c>
      <c r="M152" s="9" t="s">
        <v>7</v>
      </c>
      <c r="N152" s="68" t="s">
        <v>81</v>
      </c>
      <c r="O152" s="67" t="s">
        <v>6</v>
      </c>
      <c r="P152" s="9" t="s">
        <v>7</v>
      </c>
      <c r="Q152" s="68" t="s">
        <v>81</v>
      </c>
      <c r="R152" s="67" t="s">
        <v>6</v>
      </c>
      <c r="S152" s="9" t="s">
        <v>7</v>
      </c>
      <c r="T152" s="68" t="s">
        <v>81</v>
      </c>
      <c r="U152" s="67" t="s">
        <v>17</v>
      </c>
      <c r="V152" s="132" t="s">
        <v>83</v>
      </c>
      <c r="X152" s="67" t="s">
        <v>6</v>
      </c>
      <c r="Y152" s="117" t="s">
        <v>88</v>
      </c>
      <c r="Z152" s="117" t="s">
        <v>89</v>
      </c>
      <c r="AA152" s="9" t="s">
        <v>7</v>
      </c>
      <c r="AB152" s="68" t="s">
        <v>81</v>
      </c>
      <c r="AC152" s="67" t="s">
        <v>6</v>
      </c>
      <c r="AD152" s="117" t="s">
        <v>88</v>
      </c>
      <c r="AE152" s="117" t="s">
        <v>89</v>
      </c>
      <c r="AF152" s="9" t="s">
        <v>7</v>
      </c>
      <c r="AG152" s="68" t="s">
        <v>81</v>
      </c>
      <c r="AH152" s="67" t="s">
        <v>6</v>
      </c>
      <c r="AI152" s="117" t="s">
        <v>88</v>
      </c>
      <c r="AJ152" s="117" t="s">
        <v>89</v>
      </c>
      <c r="AK152" s="9" t="s">
        <v>7</v>
      </c>
      <c r="AL152" s="68" t="s">
        <v>81</v>
      </c>
      <c r="AM152" s="67" t="s">
        <v>6</v>
      </c>
      <c r="AN152" s="117" t="s">
        <v>88</v>
      </c>
      <c r="AO152" s="117" t="s">
        <v>89</v>
      </c>
      <c r="AP152" s="9" t="s">
        <v>7</v>
      </c>
      <c r="AQ152" s="68" t="s">
        <v>81</v>
      </c>
      <c r="AR152" s="67" t="s">
        <v>6</v>
      </c>
      <c r="AS152" s="117" t="s">
        <v>88</v>
      </c>
      <c r="AT152" s="117" t="s">
        <v>89</v>
      </c>
      <c r="AU152" s="9" t="s">
        <v>7</v>
      </c>
      <c r="AV152" s="68" t="s">
        <v>81</v>
      </c>
      <c r="AW152" s="67" t="s">
        <v>17</v>
      </c>
      <c r="AX152" s="132" t="s">
        <v>83</v>
      </c>
    </row>
    <row r="153" spans="1:50" s="3" customFormat="1" outlineLevel="1" x14ac:dyDescent="0.25">
      <c r="B153" s="52" t="s">
        <v>283</v>
      </c>
      <c r="C153" s="56" t="s">
        <v>22</v>
      </c>
      <c r="D153" s="4"/>
      <c r="E153" s="4"/>
      <c r="F153" s="4"/>
      <c r="G153" s="172">
        <f t="shared" ref="G153:G161" si="394">E153+F153</f>
        <v>0</v>
      </c>
      <c r="H153" s="282">
        <f t="shared" ref="H153:H167" si="395">IFERROR((G153-E153)/E153,0)</f>
        <v>0</v>
      </c>
      <c r="I153" s="4"/>
      <c r="J153" s="172">
        <f t="shared" ref="J153:J161" si="396">G153+I153</f>
        <v>0</v>
      </c>
      <c r="K153" s="282">
        <f t="shared" ref="K153:K167" si="397">IFERROR((J153-G153)/G153,0)</f>
        <v>0</v>
      </c>
      <c r="L153" s="4"/>
      <c r="M153" s="172">
        <f t="shared" ref="M153:M161" si="398">J153+L153</f>
        <v>0</v>
      </c>
      <c r="N153" s="282">
        <f t="shared" ref="N153:N167" si="399">IFERROR((M153-J153)/J153,0)</f>
        <v>0</v>
      </c>
      <c r="O153" s="4"/>
      <c r="P153" s="158"/>
      <c r="Q153" s="283"/>
      <c r="R153" s="4"/>
      <c r="S153" s="172">
        <f t="shared" ref="S153:S161" si="400">M153+R153</f>
        <v>0</v>
      </c>
      <c r="T153" s="282">
        <f t="shared" ref="T153:T167" si="401">IFERROR((S153-M153)/M153,0)</f>
        <v>0</v>
      </c>
      <c r="U153" s="181">
        <f t="shared" ref="U153:U167" si="402">D153+F153+I153+L153+R153</f>
        <v>0</v>
      </c>
      <c r="V153" s="192">
        <f t="shared" ref="V153:V167" si="403">IFERROR((S153/E153)^(1/4)-1,0)</f>
        <v>0</v>
      </c>
      <c r="X153" s="172">
        <f>Y153+Z153</f>
        <v>0</v>
      </c>
      <c r="Y153" s="4">
        <f>'Ανάλυση για νέους πελάτες'!D113</f>
        <v>0</v>
      </c>
      <c r="Z153" s="4"/>
      <c r="AA153" s="172">
        <f t="shared" ref="AA153:AA161" si="404">S153+X153</f>
        <v>0</v>
      </c>
      <c r="AB153" s="282">
        <f t="shared" ref="AB153:AB167" si="405">IFERROR((AA153-S153)/S153,0)</f>
        <v>0</v>
      </c>
      <c r="AC153" s="172">
        <f>AD153+AE153</f>
        <v>0</v>
      </c>
      <c r="AD153" s="4">
        <f>'Ανάλυση για νέους πελάτες'!E113</f>
        <v>0</v>
      </c>
      <c r="AE153" s="4"/>
      <c r="AF153" s="172">
        <f t="shared" ref="AF153:AF161" si="406">AA153+AC153</f>
        <v>0</v>
      </c>
      <c r="AG153" s="284">
        <f t="shared" ref="AG153:AG167" si="407">IFERROR((AF153-AA153)/AA153,0)</f>
        <v>0</v>
      </c>
      <c r="AH153" s="172">
        <f>AI153+AJ153</f>
        <v>0</v>
      </c>
      <c r="AI153" s="4"/>
      <c r="AJ153" s="4"/>
      <c r="AK153" s="172">
        <f t="shared" ref="AK153:AK161" si="408">AF153+AH153</f>
        <v>0</v>
      </c>
      <c r="AL153" s="284">
        <f t="shared" ref="AL153:AL167" si="409">IFERROR((AK153-AF153)/AF153,0)</f>
        <v>0</v>
      </c>
      <c r="AM153" s="172">
        <f>AN153+AO153</f>
        <v>0</v>
      </c>
      <c r="AN153" s="4"/>
      <c r="AO153" s="4"/>
      <c r="AP153" s="172">
        <f t="shared" ref="AP153:AP161" si="410">AK153+AM153</f>
        <v>0</v>
      </c>
      <c r="AQ153" s="284">
        <f t="shared" ref="AQ153:AQ167" si="411">IFERROR((AP153-AK153)/AK153,0)</f>
        <v>0</v>
      </c>
      <c r="AR153" s="172">
        <f>AS153+AT153</f>
        <v>0</v>
      </c>
      <c r="AS153" s="4"/>
      <c r="AT153" s="4"/>
      <c r="AU153" s="172">
        <f t="shared" ref="AU153:AU161" si="412">AP153+AR153</f>
        <v>0</v>
      </c>
      <c r="AV153" s="284">
        <f t="shared" ref="AV153:AV167" si="413">IFERROR((AU153-AP153)/AP153,0)</f>
        <v>0</v>
      </c>
      <c r="AW153" s="181">
        <f t="shared" ref="AW153:AW161" si="414">X153+AC153+AH153+AM153+AR153</f>
        <v>0</v>
      </c>
      <c r="AX153" s="192">
        <f t="shared" ref="AX153:AX167" si="415">IFERROR((AU153/AA153)^(1/4)-1,0)</f>
        <v>0</v>
      </c>
    </row>
    <row r="154" spans="1:50" s="290" customFormat="1" outlineLevel="1" x14ac:dyDescent="0.25">
      <c r="A154" s="3"/>
      <c r="B154" s="52" t="s">
        <v>284</v>
      </c>
      <c r="C154" s="56" t="s">
        <v>22</v>
      </c>
      <c r="D154" s="285"/>
      <c r="E154" s="285"/>
      <c r="F154" s="285"/>
      <c r="G154" s="172">
        <f t="shared" si="394"/>
        <v>0</v>
      </c>
      <c r="H154" s="282">
        <f t="shared" si="395"/>
        <v>0</v>
      </c>
      <c r="I154" s="285"/>
      <c r="J154" s="172">
        <f t="shared" si="396"/>
        <v>0</v>
      </c>
      <c r="K154" s="282">
        <f t="shared" si="397"/>
        <v>0</v>
      </c>
      <c r="L154" s="285"/>
      <c r="M154" s="172">
        <f t="shared" si="398"/>
        <v>0</v>
      </c>
      <c r="N154" s="282">
        <f t="shared" si="399"/>
        <v>0</v>
      </c>
      <c r="O154" s="285"/>
      <c r="P154" s="287"/>
      <c r="Q154" s="288"/>
      <c r="R154" s="285"/>
      <c r="S154" s="172">
        <f t="shared" si="400"/>
        <v>0</v>
      </c>
      <c r="T154" s="286">
        <f t="shared" si="401"/>
        <v>0</v>
      </c>
      <c r="U154" s="181">
        <f t="shared" si="402"/>
        <v>0</v>
      </c>
      <c r="V154" s="289">
        <f t="shared" si="403"/>
        <v>0</v>
      </c>
      <c r="W154" s="3"/>
      <c r="X154" s="172">
        <f t="shared" ref="X154:X161" si="416">Y154+Z154</f>
        <v>0</v>
      </c>
      <c r="Y154" s="4">
        <f>'Ανάλυση για νέους πελάτες'!D114</f>
        <v>0</v>
      </c>
      <c r="Z154" s="285"/>
      <c r="AA154" s="172">
        <f t="shared" si="404"/>
        <v>0</v>
      </c>
      <c r="AB154" s="282">
        <f t="shared" si="405"/>
        <v>0</v>
      </c>
      <c r="AC154" s="172">
        <f t="shared" ref="AC154:AC161" si="417">AD154+AE154</f>
        <v>0</v>
      </c>
      <c r="AD154" s="4">
        <f>'Ανάλυση για νέους πελάτες'!E114</f>
        <v>0</v>
      </c>
      <c r="AE154" s="4"/>
      <c r="AF154" s="172">
        <f t="shared" si="406"/>
        <v>0</v>
      </c>
      <c r="AG154" s="286">
        <f t="shared" si="407"/>
        <v>0</v>
      </c>
      <c r="AH154" s="172">
        <f t="shared" ref="AH154:AH161" si="418">AI154+AJ154</f>
        <v>0</v>
      </c>
      <c r="AI154" s="4"/>
      <c r="AJ154" s="4"/>
      <c r="AK154" s="204">
        <f t="shared" si="408"/>
        <v>0</v>
      </c>
      <c r="AL154" s="286">
        <f t="shared" si="409"/>
        <v>0</v>
      </c>
      <c r="AM154" s="172">
        <f t="shared" ref="AM154:AM161" si="419">AN154+AO154</f>
        <v>0</v>
      </c>
      <c r="AN154" s="4"/>
      <c r="AO154" s="285"/>
      <c r="AP154" s="172">
        <f t="shared" si="410"/>
        <v>0</v>
      </c>
      <c r="AQ154" s="286">
        <f t="shared" si="411"/>
        <v>0</v>
      </c>
      <c r="AR154" s="172">
        <f t="shared" ref="AR154:AR161" si="420">AS154+AT154</f>
        <v>0</v>
      </c>
      <c r="AS154" s="4"/>
      <c r="AT154" s="285"/>
      <c r="AU154" s="172">
        <f t="shared" si="412"/>
        <v>0</v>
      </c>
      <c r="AV154" s="286">
        <f t="shared" si="413"/>
        <v>0</v>
      </c>
      <c r="AW154" s="181">
        <f t="shared" si="414"/>
        <v>0</v>
      </c>
      <c r="AX154" s="289">
        <f t="shared" si="415"/>
        <v>0</v>
      </c>
    </row>
    <row r="155" spans="1:50" s="290" customFormat="1" outlineLevel="1" x14ac:dyDescent="0.25">
      <c r="A155" s="3"/>
      <c r="B155" s="52" t="s">
        <v>285</v>
      </c>
      <c r="C155" s="56" t="s">
        <v>22</v>
      </c>
      <c r="D155" s="285"/>
      <c r="E155" s="285"/>
      <c r="F155" s="285"/>
      <c r="G155" s="172">
        <f t="shared" si="394"/>
        <v>0</v>
      </c>
      <c r="H155" s="282">
        <f t="shared" si="395"/>
        <v>0</v>
      </c>
      <c r="I155" s="285"/>
      <c r="J155" s="172">
        <f t="shared" si="396"/>
        <v>0</v>
      </c>
      <c r="K155" s="282">
        <f t="shared" si="397"/>
        <v>0</v>
      </c>
      <c r="L155" s="285"/>
      <c r="M155" s="172">
        <f t="shared" si="398"/>
        <v>0</v>
      </c>
      <c r="N155" s="282">
        <f t="shared" si="399"/>
        <v>0</v>
      </c>
      <c r="O155" s="285"/>
      <c r="P155" s="287"/>
      <c r="Q155" s="288"/>
      <c r="R155" s="285"/>
      <c r="S155" s="172">
        <f t="shared" si="400"/>
        <v>0</v>
      </c>
      <c r="T155" s="286">
        <f t="shared" si="401"/>
        <v>0</v>
      </c>
      <c r="U155" s="181">
        <f t="shared" si="402"/>
        <v>0</v>
      </c>
      <c r="V155" s="289">
        <f t="shared" si="403"/>
        <v>0</v>
      </c>
      <c r="W155" s="3"/>
      <c r="X155" s="172">
        <f t="shared" si="416"/>
        <v>0</v>
      </c>
      <c r="Y155" s="4">
        <f>'Ανάλυση για νέους πελάτες'!D115</f>
        <v>0</v>
      </c>
      <c r="Z155" s="285"/>
      <c r="AA155" s="172">
        <f t="shared" si="404"/>
        <v>0</v>
      </c>
      <c r="AB155" s="282">
        <f t="shared" si="405"/>
        <v>0</v>
      </c>
      <c r="AC155" s="172">
        <f t="shared" si="417"/>
        <v>0</v>
      </c>
      <c r="AD155" s="4">
        <f>'Ανάλυση για νέους πελάτες'!E115</f>
        <v>0</v>
      </c>
      <c r="AE155" s="4"/>
      <c r="AF155" s="172">
        <f t="shared" si="406"/>
        <v>0</v>
      </c>
      <c r="AG155" s="286">
        <f t="shared" si="407"/>
        <v>0</v>
      </c>
      <c r="AH155" s="172">
        <f t="shared" si="418"/>
        <v>0</v>
      </c>
      <c r="AI155" s="4"/>
      <c r="AJ155" s="4"/>
      <c r="AK155" s="204">
        <f t="shared" si="408"/>
        <v>0</v>
      </c>
      <c r="AL155" s="286">
        <f t="shared" si="409"/>
        <v>0</v>
      </c>
      <c r="AM155" s="172">
        <f t="shared" si="419"/>
        <v>0</v>
      </c>
      <c r="AN155" s="4"/>
      <c r="AO155" s="285"/>
      <c r="AP155" s="172">
        <f t="shared" si="410"/>
        <v>0</v>
      </c>
      <c r="AQ155" s="286">
        <f t="shared" si="411"/>
        <v>0</v>
      </c>
      <c r="AR155" s="172">
        <f t="shared" si="420"/>
        <v>0</v>
      </c>
      <c r="AS155" s="4"/>
      <c r="AT155" s="285"/>
      <c r="AU155" s="172">
        <f t="shared" si="412"/>
        <v>0</v>
      </c>
      <c r="AV155" s="286">
        <f t="shared" si="413"/>
        <v>0</v>
      </c>
      <c r="AW155" s="181">
        <f t="shared" si="414"/>
        <v>0</v>
      </c>
      <c r="AX155" s="289">
        <f t="shared" si="415"/>
        <v>0</v>
      </c>
    </row>
    <row r="156" spans="1:50" s="3" customFormat="1" outlineLevel="1" x14ac:dyDescent="0.25">
      <c r="B156" s="52" t="s">
        <v>286</v>
      </c>
      <c r="C156" s="56" t="s">
        <v>22</v>
      </c>
      <c r="D156" s="4"/>
      <c r="E156" s="4"/>
      <c r="F156" s="4"/>
      <c r="G156" s="172">
        <f t="shared" si="394"/>
        <v>0</v>
      </c>
      <c r="H156" s="282">
        <f t="shared" si="395"/>
        <v>0</v>
      </c>
      <c r="I156" s="4"/>
      <c r="J156" s="172">
        <f t="shared" si="396"/>
        <v>0</v>
      </c>
      <c r="K156" s="282">
        <f t="shared" si="397"/>
        <v>0</v>
      </c>
      <c r="L156" s="4"/>
      <c r="M156" s="172">
        <f t="shared" si="398"/>
        <v>0</v>
      </c>
      <c r="N156" s="282">
        <f t="shared" si="399"/>
        <v>0</v>
      </c>
      <c r="O156" s="4"/>
      <c r="P156" s="158"/>
      <c r="Q156" s="283"/>
      <c r="R156" s="4"/>
      <c r="S156" s="172">
        <f t="shared" si="400"/>
        <v>0</v>
      </c>
      <c r="T156" s="282">
        <f t="shared" si="401"/>
        <v>0</v>
      </c>
      <c r="U156" s="181">
        <f t="shared" si="402"/>
        <v>0</v>
      </c>
      <c r="V156" s="192">
        <f t="shared" si="403"/>
        <v>0</v>
      </c>
      <c r="X156" s="172">
        <f t="shared" si="416"/>
        <v>0</v>
      </c>
      <c r="Y156" s="4">
        <f>'Ανάλυση για νέους πελάτες'!D116</f>
        <v>0</v>
      </c>
      <c r="Z156" s="285"/>
      <c r="AA156" s="172">
        <f t="shared" si="404"/>
        <v>0</v>
      </c>
      <c r="AB156" s="282">
        <f t="shared" si="405"/>
        <v>0</v>
      </c>
      <c r="AC156" s="172">
        <f t="shared" si="417"/>
        <v>1</v>
      </c>
      <c r="AD156" s="4">
        <f>'Ανάλυση για νέους πελάτες'!E116</f>
        <v>1</v>
      </c>
      <c r="AE156" s="4"/>
      <c r="AF156" s="172">
        <f t="shared" si="406"/>
        <v>1</v>
      </c>
      <c r="AG156" s="284">
        <f t="shared" si="407"/>
        <v>0</v>
      </c>
      <c r="AH156" s="172">
        <f t="shared" si="418"/>
        <v>0</v>
      </c>
      <c r="AI156" s="4"/>
      <c r="AJ156" s="4"/>
      <c r="AK156" s="172">
        <f t="shared" si="408"/>
        <v>1</v>
      </c>
      <c r="AL156" s="284">
        <f t="shared" si="409"/>
        <v>0</v>
      </c>
      <c r="AM156" s="172">
        <f t="shared" si="419"/>
        <v>0</v>
      </c>
      <c r="AN156" s="4"/>
      <c r="AO156" s="4"/>
      <c r="AP156" s="172">
        <f t="shared" si="410"/>
        <v>1</v>
      </c>
      <c r="AQ156" s="284">
        <f t="shared" si="411"/>
        <v>0</v>
      </c>
      <c r="AR156" s="172">
        <f t="shared" si="420"/>
        <v>0</v>
      </c>
      <c r="AS156" s="4"/>
      <c r="AT156" s="4"/>
      <c r="AU156" s="172">
        <f t="shared" si="412"/>
        <v>1</v>
      </c>
      <c r="AV156" s="284">
        <f t="shared" si="413"/>
        <v>0</v>
      </c>
      <c r="AW156" s="181">
        <f t="shared" si="414"/>
        <v>1</v>
      </c>
      <c r="AX156" s="192">
        <f t="shared" si="415"/>
        <v>0</v>
      </c>
    </row>
    <row r="157" spans="1:50" s="290" customFormat="1" outlineLevel="1" x14ac:dyDescent="0.25">
      <c r="A157" s="3"/>
      <c r="B157" s="52" t="s">
        <v>287</v>
      </c>
      <c r="C157" s="56" t="s">
        <v>22</v>
      </c>
      <c r="D157" s="285"/>
      <c r="E157" s="285"/>
      <c r="F157" s="285"/>
      <c r="G157" s="172">
        <f t="shared" si="394"/>
        <v>0</v>
      </c>
      <c r="H157" s="282">
        <f t="shared" si="395"/>
        <v>0</v>
      </c>
      <c r="I157" s="285"/>
      <c r="J157" s="172">
        <f t="shared" si="396"/>
        <v>0</v>
      </c>
      <c r="K157" s="282">
        <f t="shared" si="397"/>
        <v>0</v>
      </c>
      <c r="L157" s="285"/>
      <c r="M157" s="172">
        <f t="shared" si="398"/>
        <v>0</v>
      </c>
      <c r="N157" s="282">
        <f t="shared" si="399"/>
        <v>0</v>
      </c>
      <c r="O157" s="285"/>
      <c r="P157" s="287"/>
      <c r="Q157" s="288"/>
      <c r="R157" s="285"/>
      <c r="S157" s="172">
        <f t="shared" si="400"/>
        <v>0</v>
      </c>
      <c r="T157" s="286">
        <f t="shared" si="401"/>
        <v>0</v>
      </c>
      <c r="U157" s="181">
        <f t="shared" si="402"/>
        <v>0</v>
      </c>
      <c r="V157" s="289">
        <f t="shared" si="403"/>
        <v>0</v>
      </c>
      <c r="W157" s="3"/>
      <c r="X157" s="172">
        <f t="shared" si="416"/>
        <v>0</v>
      </c>
      <c r="Y157" s="4">
        <f>'Ανάλυση για νέους πελάτες'!D117</f>
        <v>0</v>
      </c>
      <c r="Z157" s="285"/>
      <c r="AA157" s="172">
        <f t="shared" si="404"/>
        <v>0</v>
      </c>
      <c r="AB157" s="282">
        <f t="shared" si="405"/>
        <v>0</v>
      </c>
      <c r="AC157" s="172">
        <f t="shared" si="417"/>
        <v>1</v>
      </c>
      <c r="AD157" s="4">
        <f>'Ανάλυση για νέους πελάτες'!E117</f>
        <v>1</v>
      </c>
      <c r="AE157" s="4"/>
      <c r="AF157" s="172">
        <f t="shared" si="406"/>
        <v>1</v>
      </c>
      <c r="AG157" s="286">
        <f t="shared" si="407"/>
        <v>0</v>
      </c>
      <c r="AH157" s="172">
        <f t="shared" si="418"/>
        <v>0</v>
      </c>
      <c r="AI157" s="4"/>
      <c r="AJ157" s="4"/>
      <c r="AK157" s="204">
        <f t="shared" si="408"/>
        <v>1</v>
      </c>
      <c r="AL157" s="286">
        <f t="shared" si="409"/>
        <v>0</v>
      </c>
      <c r="AM157" s="172">
        <f t="shared" si="419"/>
        <v>0</v>
      </c>
      <c r="AN157" s="4"/>
      <c r="AO157" s="285"/>
      <c r="AP157" s="172">
        <f t="shared" si="410"/>
        <v>1</v>
      </c>
      <c r="AQ157" s="286">
        <f t="shared" si="411"/>
        <v>0</v>
      </c>
      <c r="AR157" s="172">
        <f t="shared" si="420"/>
        <v>0</v>
      </c>
      <c r="AS157" s="4"/>
      <c r="AT157" s="285"/>
      <c r="AU157" s="172">
        <f t="shared" si="412"/>
        <v>1</v>
      </c>
      <c r="AV157" s="286">
        <f t="shared" si="413"/>
        <v>0</v>
      </c>
      <c r="AW157" s="181">
        <f t="shared" si="414"/>
        <v>1</v>
      </c>
      <c r="AX157" s="289">
        <f t="shared" si="415"/>
        <v>0</v>
      </c>
    </row>
    <row r="158" spans="1:50" s="3" customFormat="1" outlineLevel="1" x14ac:dyDescent="0.25">
      <c r="B158" s="52" t="s">
        <v>288</v>
      </c>
      <c r="C158" s="56" t="s">
        <v>22</v>
      </c>
      <c r="D158" s="4"/>
      <c r="E158" s="4"/>
      <c r="F158" s="4"/>
      <c r="G158" s="172">
        <f t="shared" si="394"/>
        <v>0</v>
      </c>
      <c r="H158" s="282">
        <f t="shared" si="395"/>
        <v>0</v>
      </c>
      <c r="I158" s="4"/>
      <c r="J158" s="172">
        <f t="shared" si="396"/>
        <v>0</v>
      </c>
      <c r="K158" s="282">
        <f t="shared" si="397"/>
        <v>0</v>
      </c>
      <c r="L158" s="4"/>
      <c r="M158" s="172">
        <f t="shared" si="398"/>
        <v>0</v>
      </c>
      <c r="N158" s="282">
        <f t="shared" si="399"/>
        <v>0</v>
      </c>
      <c r="O158" s="4"/>
      <c r="P158" s="158"/>
      <c r="Q158" s="283"/>
      <c r="R158" s="4"/>
      <c r="S158" s="172">
        <f t="shared" si="400"/>
        <v>0</v>
      </c>
      <c r="T158" s="282">
        <f t="shared" si="401"/>
        <v>0</v>
      </c>
      <c r="U158" s="181">
        <f t="shared" si="402"/>
        <v>0</v>
      </c>
      <c r="V158" s="192">
        <f t="shared" si="403"/>
        <v>0</v>
      </c>
      <c r="X158" s="172">
        <f t="shared" si="416"/>
        <v>1</v>
      </c>
      <c r="Y158" s="4">
        <f>'Ανάλυση για νέους πελάτες'!D118</f>
        <v>1</v>
      </c>
      <c r="Z158" s="285"/>
      <c r="AA158" s="172">
        <f t="shared" si="404"/>
        <v>1</v>
      </c>
      <c r="AB158" s="282">
        <f t="shared" si="405"/>
        <v>0</v>
      </c>
      <c r="AC158" s="172">
        <f t="shared" si="417"/>
        <v>0</v>
      </c>
      <c r="AD158" s="4">
        <f>'Ανάλυση για νέους πελάτες'!E118</f>
        <v>0</v>
      </c>
      <c r="AE158" s="4"/>
      <c r="AF158" s="172">
        <f t="shared" si="406"/>
        <v>1</v>
      </c>
      <c r="AG158" s="284">
        <f t="shared" si="407"/>
        <v>0</v>
      </c>
      <c r="AH158" s="172">
        <f t="shared" si="418"/>
        <v>0</v>
      </c>
      <c r="AI158" s="4"/>
      <c r="AJ158" s="4"/>
      <c r="AK158" s="172">
        <f t="shared" si="408"/>
        <v>1</v>
      </c>
      <c r="AL158" s="284">
        <f t="shared" si="409"/>
        <v>0</v>
      </c>
      <c r="AM158" s="172">
        <f t="shared" si="419"/>
        <v>0</v>
      </c>
      <c r="AN158" s="4"/>
      <c r="AO158" s="4"/>
      <c r="AP158" s="172">
        <f t="shared" si="410"/>
        <v>1</v>
      </c>
      <c r="AQ158" s="284">
        <f t="shared" si="411"/>
        <v>0</v>
      </c>
      <c r="AR158" s="172">
        <f t="shared" si="420"/>
        <v>0</v>
      </c>
      <c r="AS158" s="4"/>
      <c r="AT158" s="4"/>
      <c r="AU158" s="172">
        <f t="shared" si="412"/>
        <v>1</v>
      </c>
      <c r="AV158" s="284">
        <f t="shared" si="413"/>
        <v>0</v>
      </c>
      <c r="AW158" s="181">
        <f t="shared" si="414"/>
        <v>1</v>
      </c>
      <c r="AX158" s="192">
        <f t="shared" si="415"/>
        <v>0</v>
      </c>
    </row>
    <row r="159" spans="1:50" s="3" customFormat="1" ht="16.5" customHeight="1" outlineLevel="1" x14ac:dyDescent="0.25">
      <c r="B159" s="52" t="s">
        <v>289</v>
      </c>
      <c r="C159" s="56" t="s">
        <v>22</v>
      </c>
      <c r="D159" s="4"/>
      <c r="E159" s="4"/>
      <c r="F159" s="4"/>
      <c r="G159" s="172">
        <f t="shared" si="394"/>
        <v>0</v>
      </c>
      <c r="H159" s="282">
        <f t="shared" si="395"/>
        <v>0</v>
      </c>
      <c r="I159" s="4"/>
      <c r="J159" s="172">
        <f t="shared" si="396"/>
        <v>0</v>
      </c>
      <c r="K159" s="282">
        <f t="shared" si="397"/>
        <v>0</v>
      </c>
      <c r="L159" s="4"/>
      <c r="M159" s="172">
        <f t="shared" si="398"/>
        <v>0</v>
      </c>
      <c r="N159" s="282">
        <f t="shared" si="399"/>
        <v>0</v>
      </c>
      <c r="O159" s="4"/>
      <c r="P159" s="158"/>
      <c r="Q159" s="283"/>
      <c r="R159" s="4"/>
      <c r="S159" s="172">
        <f t="shared" si="400"/>
        <v>0</v>
      </c>
      <c r="T159" s="282">
        <f t="shared" si="401"/>
        <v>0</v>
      </c>
      <c r="U159" s="181">
        <f t="shared" si="402"/>
        <v>0</v>
      </c>
      <c r="V159" s="192">
        <f t="shared" si="403"/>
        <v>0</v>
      </c>
      <c r="X159" s="172">
        <f t="shared" si="416"/>
        <v>1</v>
      </c>
      <c r="Y159" s="4">
        <f>'Ανάλυση για νέους πελάτες'!D119</f>
        <v>1</v>
      </c>
      <c r="Z159" s="285"/>
      <c r="AA159" s="172">
        <f t="shared" si="404"/>
        <v>1</v>
      </c>
      <c r="AB159" s="282">
        <f t="shared" si="405"/>
        <v>0</v>
      </c>
      <c r="AC159" s="172">
        <f t="shared" si="417"/>
        <v>1</v>
      </c>
      <c r="AD159" s="4">
        <f>'Ανάλυση για νέους πελάτες'!E119</f>
        <v>1</v>
      </c>
      <c r="AE159" s="4"/>
      <c r="AF159" s="172">
        <f t="shared" si="406"/>
        <v>2</v>
      </c>
      <c r="AG159" s="284">
        <f t="shared" si="407"/>
        <v>1</v>
      </c>
      <c r="AH159" s="172">
        <f t="shared" si="418"/>
        <v>0</v>
      </c>
      <c r="AI159" s="4"/>
      <c r="AJ159" s="4"/>
      <c r="AK159" s="172">
        <f t="shared" si="408"/>
        <v>2</v>
      </c>
      <c r="AL159" s="284">
        <f t="shared" si="409"/>
        <v>0</v>
      </c>
      <c r="AM159" s="172">
        <f t="shared" si="419"/>
        <v>0</v>
      </c>
      <c r="AN159" s="4"/>
      <c r="AO159" s="4"/>
      <c r="AP159" s="172">
        <f t="shared" si="410"/>
        <v>2</v>
      </c>
      <c r="AQ159" s="284">
        <f t="shared" si="411"/>
        <v>0</v>
      </c>
      <c r="AR159" s="172">
        <f t="shared" si="420"/>
        <v>0</v>
      </c>
      <c r="AS159" s="4"/>
      <c r="AT159" s="4"/>
      <c r="AU159" s="172">
        <f t="shared" si="412"/>
        <v>2</v>
      </c>
      <c r="AV159" s="284">
        <f t="shared" si="413"/>
        <v>0</v>
      </c>
      <c r="AW159" s="181">
        <f t="shared" si="414"/>
        <v>2</v>
      </c>
      <c r="AX159" s="192">
        <f t="shared" si="415"/>
        <v>0.18920711500272103</v>
      </c>
    </row>
    <row r="160" spans="1:50" s="3" customFormat="1" ht="16.5" customHeight="1" outlineLevel="1" x14ac:dyDescent="0.25">
      <c r="B160" s="52" t="s">
        <v>290</v>
      </c>
      <c r="C160" s="56" t="s">
        <v>22</v>
      </c>
      <c r="D160" s="4"/>
      <c r="E160" s="4"/>
      <c r="F160" s="4"/>
      <c r="G160" s="172">
        <f t="shared" si="394"/>
        <v>0</v>
      </c>
      <c r="H160" s="282">
        <f t="shared" si="395"/>
        <v>0</v>
      </c>
      <c r="I160" s="4"/>
      <c r="J160" s="172">
        <f t="shared" si="396"/>
        <v>0</v>
      </c>
      <c r="K160" s="282">
        <f t="shared" si="397"/>
        <v>0</v>
      </c>
      <c r="L160" s="4"/>
      <c r="M160" s="172">
        <f t="shared" si="398"/>
        <v>0</v>
      </c>
      <c r="N160" s="282">
        <f t="shared" si="399"/>
        <v>0</v>
      </c>
      <c r="O160" s="4"/>
      <c r="P160" s="158"/>
      <c r="Q160" s="283"/>
      <c r="R160" s="4"/>
      <c r="S160" s="172">
        <f t="shared" si="400"/>
        <v>0</v>
      </c>
      <c r="T160" s="282">
        <f t="shared" si="401"/>
        <v>0</v>
      </c>
      <c r="U160" s="181">
        <f t="shared" si="402"/>
        <v>0</v>
      </c>
      <c r="V160" s="192">
        <f t="shared" si="403"/>
        <v>0</v>
      </c>
      <c r="X160" s="172">
        <f t="shared" si="416"/>
        <v>1</v>
      </c>
      <c r="Y160" s="4">
        <f>'Ανάλυση για νέους πελάτες'!D120</f>
        <v>1</v>
      </c>
      <c r="Z160" s="285"/>
      <c r="AA160" s="172">
        <f t="shared" si="404"/>
        <v>1</v>
      </c>
      <c r="AB160" s="282">
        <f t="shared" si="405"/>
        <v>0</v>
      </c>
      <c r="AC160" s="172">
        <f t="shared" si="417"/>
        <v>1</v>
      </c>
      <c r="AD160" s="4">
        <f>'Ανάλυση για νέους πελάτες'!E120</f>
        <v>1</v>
      </c>
      <c r="AE160" s="4"/>
      <c r="AF160" s="172">
        <f t="shared" si="406"/>
        <v>2</v>
      </c>
      <c r="AG160" s="284">
        <f t="shared" si="407"/>
        <v>1</v>
      </c>
      <c r="AH160" s="172">
        <f t="shared" si="418"/>
        <v>0</v>
      </c>
      <c r="AI160" s="4"/>
      <c r="AJ160" s="4"/>
      <c r="AK160" s="172">
        <f t="shared" si="408"/>
        <v>2</v>
      </c>
      <c r="AL160" s="284">
        <f t="shared" si="409"/>
        <v>0</v>
      </c>
      <c r="AM160" s="172">
        <f t="shared" si="419"/>
        <v>0</v>
      </c>
      <c r="AN160" s="4"/>
      <c r="AO160" s="4"/>
      <c r="AP160" s="172">
        <f t="shared" si="410"/>
        <v>2</v>
      </c>
      <c r="AQ160" s="284">
        <f t="shared" si="411"/>
        <v>0</v>
      </c>
      <c r="AR160" s="172">
        <f t="shared" si="420"/>
        <v>0</v>
      </c>
      <c r="AS160" s="4"/>
      <c r="AT160" s="4"/>
      <c r="AU160" s="172">
        <f t="shared" si="412"/>
        <v>2</v>
      </c>
      <c r="AV160" s="284">
        <f t="shared" si="413"/>
        <v>0</v>
      </c>
      <c r="AW160" s="181">
        <f t="shared" si="414"/>
        <v>2</v>
      </c>
      <c r="AX160" s="192">
        <f t="shared" si="415"/>
        <v>0.18920711500272103</v>
      </c>
    </row>
    <row r="161" spans="2:50" s="3" customFormat="1" ht="16.5" customHeight="1" outlineLevel="1" x14ac:dyDescent="0.25">
      <c r="B161" s="52" t="s">
        <v>291</v>
      </c>
      <c r="C161" s="56" t="s">
        <v>22</v>
      </c>
      <c r="D161" s="4"/>
      <c r="E161" s="4"/>
      <c r="F161" s="4"/>
      <c r="G161" s="172">
        <f t="shared" si="394"/>
        <v>0</v>
      </c>
      <c r="H161" s="282">
        <f t="shared" si="395"/>
        <v>0</v>
      </c>
      <c r="I161" s="4"/>
      <c r="J161" s="172">
        <f t="shared" si="396"/>
        <v>0</v>
      </c>
      <c r="K161" s="282">
        <f t="shared" si="397"/>
        <v>0</v>
      </c>
      <c r="L161" s="4"/>
      <c r="M161" s="172">
        <f t="shared" si="398"/>
        <v>0</v>
      </c>
      <c r="N161" s="282">
        <f t="shared" si="399"/>
        <v>0</v>
      </c>
      <c r="O161" s="4"/>
      <c r="P161" s="158"/>
      <c r="Q161" s="283"/>
      <c r="R161" s="4"/>
      <c r="S161" s="172">
        <f t="shared" si="400"/>
        <v>0</v>
      </c>
      <c r="T161" s="282">
        <f t="shared" si="401"/>
        <v>0</v>
      </c>
      <c r="U161" s="181">
        <f t="shared" si="402"/>
        <v>0</v>
      </c>
      <c r="V161" s="192">
        <f t="shared" si="403"/>
        <v>0</v>
      </c>
      <c r="X161" s="172">
        <f t="shared" si="416"/>
        <v>1</v>
      </c>
      <c r="Y161" s="4">
        <f>'Ανάλυση για νέους πελάτες'!D121</f>
        <v>1</v>
      </c>
      <c r="Z161" s="285"/>
      <c r="AA161" s="172">
        <f t="shared" si="404"/>
        <v>1</v>
      </c>
      <c r="AB161" s="282">
        <f t="shared" si="405"/>
        <v>0</v>
      </c>
      <c r="AC161" s="172">
        <f t="shared" si="417"/>
        <v>0</v>
      </c>
      <c r="AD161" s="4">
        <f>'Ανάλυση για νέους πελάτες'!E121</f>
        <v>0</v>
      </c>
      <c r="AE161" s="4"/>
      <c r="AF161" s="172">
        <f t="shared" si="406"/>
        <v>1</v>
      </c>
      <c r="AG161" s="284">
        <f t="shared" si="407"/>
        <v>0</v>
      </c>
      <c r="AH161" s="172">
        <f t="shared" si="418"/>
        <v>0</v>
      </c>
      <c r="AI161" s="4"/>
      <c r="AJ161" s="4"/>
      <c r="AK161" s="172">
        <f t="shared" si="408"/>
        <v>1</v>
      </c>
      <c r="AL161" s="284">
        <f t="shared" si="409"/>
        <v>0</v>
      </c>
      <c r="AM161" s="172">
        <f t="shared" si="419"/>
        <v>0</v>
      </c>
      <c r="AN161" s="4"/>
      <c r="AO161" s="4"/>
      <c r="AP161" s="172">
        <f t="shared" si="410"/>
        <v>1</v>
      </c>
      <c r="AQ161" s="284">
        <f t="shared" si="411"/>
        <v>0</v>
      </c>
      <c r="AR161" s="172">
        <f t="shared" si="420"/>
        <v>0</v>
      </c>
      <c r="AS161" s="4"/>
      <c r="AT161" s="4"/>
      <c r="AU161" s="172">
        <f t="shared" si="412"/>
        <v>1</v>
      </c>
      <c r="AV161" s="284">
        <f t="shared" si="413"/>
        <v>0</v>
      </c>
      <c r="AW161" s="181">
        <f t="shared" si="414"/>
        <v>1</v>
      </c>
      <c r="AX161" s="192">
        <f t="shared" si="415"/>
        <v>0</v>
      </c>
    </row>
    <row r="162" spans="2:50" s="3" customFormat="1" ht="16.5" customHeight="1" outlineLevel="1" x14ac:dyDescent="0.25">
      <c r="B162" s="52" t="s">
        <v>307</v>
      </c>
      <c r="C162" s="56" t="s">
        <v>22</v>
      </c>
      <c r="D162" s="4"/>
      <c r="E162" s="4"/>
      <c r="F162" s="4"/>
      <c r="G162" s="172"/>
      <c r="H162" s="282">
        <f t="shared" si="395"/>
        <v>0</v>
      </c>
      <c r="I162" s="4"/>
      <c r="J162" s="172"/>
      <c r="K162" s="282">
        <f t="shared" si="397"/>
        <v>0</v>
      </c>
      <c r="L162" s="4"/>
      <c r="M162" s="172"/>
      <c r="N162" s="282">
        <f t="shared" si="399"/>
        <v>0</v>
      </c>
      <c r="O162" s="4"/>
      <c r="P162" s="158"/>
      <c r="Q162" s="283"/>
      <c r="R162" s="4"/>
      <c r="S162" s="172"/>
      <c r="T162" s="282">
        <f t="shared" si="401"/>
        <v>0</v>
      </c>
      <c r="U162" s="181">
        <f t="shared" si="402"/>
        <v>0</v>
      </c>
      <c r="V162" s="192">
        <f t="shared" si="403"/>
        <v>0</v>
      </c>
      <c r="X162" s="172">
        <f t="shared" ref="X162:X166" si="421">Y162+Z162</f>
        <v>0</v>
      </c>
      <c r="Y162" s="4">
        <f>'Ανάλυση για νέους πελάτες'!D122</f>
        <v>0</v>
      </c>
      <c r="Z162" s="285"/>
      <c r="AA162" s="172">
        <f t="shared" ref="AA162:AA166" si="422">S162+X162</f>
        <v>0</v>
      </c>
      <c r="AB162" s="282">
        <f t="shared" ref="AB162:AB166" si="423">IFERROR((AA162-S162)/S162,0)</f>
        <v>0</v>
      </c>
      <c r="AC162" s="172">
        <f t="shared" ref="AC162:AC166" si="424">AD162+AE162</f>
        <v>0</v>
      </c>
      <c r="AD162" s="4">
        <f>'Ανάλυση για νέους πελάτες'!E122</f>
        <v>0</v>
      </c>
      <c r="AE162" s="4"/>
      <c r="AF162" s="172">
        <f t="shared" ref="AF162:AF166" si="425">AA162+AC162</f>
        <v>0</v>
      </c>
      <c r="AG162" s="284">
        <f t="shared" ref="AG162:AG166" si="426">IFERROR((AF162-AA162)/AA162,0)</f>
        <v>0</v>
      </c>
      <c r="AH162" s="172">
        <f t="shared" ref="AH162:AH166" si="427">AI162+AJ162</f>
        <v>0</v>
      </c>
      <c r="AI162" s="4"/>
      <c r="AJ162" s="4"/>
      <c r="AK162" s="172">
        <f t="shared" ref="AK162:AK166" si="428">AF162+AH162</f>
        <v>0</v>
      </c>
      <c r="AL162" s="284">
        <f t="shared" ref="AL162:AL166" si="429">IFERROR((AK162-AF162)/AF162,0)</f>
        <v>0</v>
      </c>
      <c r="AM162" s="172">
        <f t="shared" ref="AM162:AM166" si="430">AN162+AO162</f>
        <v>0</v>
      </c>
      <c r="AN162" s="4"/>
      <c r="AO162" s="4"/>
      <c r="AP162" s="172">
        <f t="shared" ref="AP162:AP166" si="431">AK162+AM162</f>
        <v>0</v>
      </c>
      <c r="AQ162" s="284">
        <f t="shared" ref="AQ162:AQ166" si="432">IFERROR((AP162-AK162)/AK162,0)</f>
        <v>0</v>
      </c>
      <c r="AR162" s="172">
        <f t="shared" ref="AR162:AR166" si="433">AS162+AT162</f>
        <v>0</v>
      </c>
      <c r="AS162" s="4"/>
      <c r="AT162" s="4"/>
      <c r="AU162" s="172">
        <f t="shared" ref="AU162:AU166" si="434">AP162+AR162</f>
        <v>0</v>
      </c>
      <c r="AV162" s="284">
        <f t="shared" ref="AV162:AV166" si="435">IFERROR((AU162-AP162)/AP162,0)</f>
        <v>0</v>
      </c>
      <c r="AW162" s="181">
        <f t="shared" ref="AW162:AW166" si="436">X162+AC162+AH162+AM162+AR162</f>
        <v>0</v>
      </c>
      <c r="AX162" s="192">
        <f t="shared" si="415"/>
        <v>0</v>
      </c>
    </row>
    <row r="163" spans="2:50" s="3" customFormat="1" ht="16.5" customHeight="1" outlineLevel="1" x14ac:dyDescent="0.25">
      <c r="B163" s="52" t="s">
        <v>304</v>
      </c>
      <c r="C163" s="56" t="s">
        <v>22</v>
      </c>
      <c r="D163" s="4"/>
      <c r="E163" s="4"/>
      <c r="F163" s="4"/>
      <c r="G163" s="172"/>
      <c r="H163" s="282">
        <f t="shared" si="395"/>
        <v>0</v>
      </c>
      <c r="I163" s="4"/>
      <c r="J163" s="172"/>
      <c r="K163" s="282">
        <f t="shared" si="397"/>
        <v>0</v>
      </c>
      <c r="L163" s="4"/>
      <c r="M163" s="172"/>
      <c r="N163" s="282">
        <f t="shared" si="399"/>
        <v>0</v>
      </c>
      <c r="O163" s="4"/>
      <c r="P163" s="158"/>
      <c r="Q163" s="283"/>
      <c r="R163" s="4"/>
      <c r="S163" s="172"/>
      <c r="T163" s="282">
        <f t="shared" si="401"/>
        <v>0</v>
      </c>
      <c r="U163" s="181">
        <f t="shared" si="402"/>
        <v>0</v>
      </c>
      <c r="V163" s="192">
        <f t="shared" si="403"/>
        <v>0</v>
      </c>
      <c r="X163" s="172">
        <f t="shared" si="421"/>
        <v>0</v>
      </c>
      <c r="Y163" s="4">
        <f>'Ανάλυση για νέους πελάτες'!D123</f>
        <v>0</v>
      </c>
      <c r="Z163" s="285"/>
      <c r="AA163" s="172">
        <f t="shared" si="422"/>
        <v>0</v>
      </c>
      <c r="AB163" s="282">
        <f t="shared" si="423"/>
        <v>0</v>
      </c>
      <c r="AC163" s="172">
        <f t="shared" si="424"/>
        <v>0</v>
      </c>
      <c r="AD163" s="4">
        <f>'Ανάλυση για νέους πελάτες'!E123</f>
        <v>0</v>
      </c>
      <c r="AE163" s="4"/>
      <c r="AF163" s="172">
        <f t="shared" si="425"/>
        <v>0</v>
      </c>
      <c r="AG163" s="284">
        <f t="shared" si="426"/>
        <v>0</v>
      </c>
      <c r="AH163" s="172">
        <f t="shared" si="427"/>
        <v>0</v>
      </c>
      <c r="AI163" s="4"/>
      <c r="AJ163" s="4"/>
      <c r="AK163" s="172">
        <f t="shared" si="428"/>
        <v>0</v>
      </c>
      <c r="AL163" s="284">
        <f t="shared" si="429"/>
        <v>0</v>
      </c>
      <c r="AM163" s="172">
        <f t="shared" si="430"/>
        <v>0</v>
      </c>
      <c r="AN163" s="4"/>
      <c r="AO163" s="4"/>
      <c r="AP163" s="172">
        <f t="shared" si="431"/>
        <v>0</v>
      </c>
      <c r="AQ163" s="284">
        <f t="shared" si="432"/>
        <v>0</v>
      </c>
      <c r="AR163" s="172">
        <f t="shared" si="433"/>
        <v>0</v>
      </c>
      <c r="AS163" s="4"/>
      <c r="AT163" s="4"/>
      <c r="AU163" s="172">
        <f t="shared" si="434"/>
        <v>0</v>
      </c>
      <c r="AV163" s="284">
        <f t="shared" si="435"/>
        <v>0</v>
      </c>
      <c r="AW163" s="181">
        <f t="shared" si="436"/>
        <v>0</v>
      </c>
      <c r="AX163" s="192">
        <f t="shared" si="415"/>
        <v>0</v>
      </c>
    </row>
    <row r="164" spans="2:50" s="3" customFormat="1" ht="16.5" customHeight="1" outlineLevel="1" x14ac:dyDescent="0.25">
      <c r="B164" s="52" t="s">
        <v>305</v>
      </c>
      <c r="C164" s="56" t="s">
        <v>22</v>
      </c>
      <c r="D164" s="4"/>
      <c r="E164" s="4"/>
      <c r="F164" s="4"/>
      <c r="G164" s="172"/>
      <c r="H164" s="282">
        <f t="shared" si="395"/>
        <v>0</v>
      </c>
      <c r="I164" s="4"/>
      <c r="J164" s="172"/>
      <c r="K164" s="282">
        <f t="shared" si="397"/>
        <v>0</v>
      </c>
      <c r="L164" s="4"/>
      <c r="M164" s="172"/>
      <c r="N164" s="282">
        <f t="shared" si="399"/>
        <v>0</v>
      </c>
      <c r="O164" s="4"/>
      <c r="P164" s="158"/>
      <c r="Q164" s="283"/>
      <c r="R164" s="4"/>
      <c r="S164" s="172"/>
      <c r="T164" s="282">
        <f t="shared" si="401"/>
        <v>0</v>
      </c>
      <c r="U164" s="181">
        <f t="shared" si="402"/>
        <v>0</v>
      </c>
      <c r="V164" s="192">
        <f t="shared" si="403"/>
        <v>0</v>
      </c>
      <c r="X164" s="172">
        <f t="shared" si="421"/>
        <v>0</v>
      </c>
      <c r="Y164" s="4">
        <f>'Ανάλυση για νέους πελάτες'!D124</f>
        <v>0</v>
      </c>
      <c r="Z164" s="285"/>
      <c r="AA164" s="172">
        <f t="shared" si="422"/>
        <v>0</v>
      </c>
      <c r="AB164" s="282">
        <f t="shared" si="423"/>
        <v>0</v>
      </c>
      <c r="AC164" s="172">
        <f t="shared" si="424"/>
        <v>0</v>
      </c>
      <c r="AD164" s="4">
        <f>'Ανάλυση για νέους πελάτες'!E124</f>
        <v>0</v>
      </c>
      <c r="AE164" s="4"/>
      <c r="AF164" s="172">
        <f t="shared" si="425"/>
        <v>0</v>
      </c>
      <c r="AG164" s="284">
        <f t="shared" si="426"/>
        <v>0</v>
      </c>
      <c r="AH164" s="172">
        <f t="shared" si="427"/>
        <v>0</v>
      </c>
      <c r="AI164" s="4"/>
      <c r="AJ164" s="4"/>
      <c r="AK164" s="172">
        <f t="shared" si="428"/>
        <v>0</v>
      </c>
      <c r="AL164" s="284">
        <f t="shared" si="429"/>
        <v>0</v>
      </c>
      <c r="AM164" s="172">
        <f t="shared" si="430"/>
        <v>0</v>
      </c>
      <c r="AN164" s="4"/>
      <c r="AO164" s="4"/>
      <c r="AP164" s="172">
        <f t="shared" si="431"/>
        <v>0</v>
      </c>
      <c r="AQ164" s="284">
        <f t="shared" si="432"/>
        <v>0</v>
      </c>
      <c r="AR164" s="172">
        <f t="shared" si="433"/>
        <v>0</v>
      </c>
      <c r="AS164" s="4"/>
      <c r="AT164" s="4"/>
      <c r="AU164" s="172">
        <f t="shared" si="434"/>
        <v>0</v>
      </c>
      <c r="AV164" s="284">
        <f t="shared" si="435"/>
        <v>0</v>
      </c>
      <c r="AW164" s="181">
        <f t="shared" si="436"/>
        <v>0</v>
      </c>
      <c r="AX164" s="192">
        <f t="shared" si="415"/>
        <v>0</v>
      </c>
    </row>
    <row r="165" spans="2:50" s="3" customFormat="1" ht="16.5" customHeight="1" outlineLevel="1" x14ac:dyDescent="0.25">
      <c r="B165" s="52" t="s">
        <v>306</v>
      </c>
      <c r="C165" s="56" t="s">
        <v>22</v>
      </c>
      <c r="D165" s="4"/>
      <c r="E165" s="4"/>
      <c r="F165" s="4"/>
      <c r="G165" s="172"/>
      <c r="H165" s="282">
        <f t="shared" si="395"/>
        <v>0</v>
      </c>
      <c r="I165" s="4"/>
      <c r="J165" s="172"/>
      <c r="K165" s="282">
        <f t="shared" si="397"/>
        <v>0</v>
      </c>
      <c r="L165" s="4"/>
      <c r="M165" s="172"/>
      <c r="N165" s="282">
        <f t="shared" si="399"/>
        <v>0</v>
      </c>
      <c r="O165" s="4"/>
      <c r="P165" s="158"/>
      <c r="Q165" s="283"/>
      <c r="R165" s="4"/>
      <c r="S165" s="172"/>
      <c r="T165" s="282">
        <f t="shared" si="401"/>
        <v>0</v>
      </c>
      <c r="U165" s="181">
        <f t="shared" si="402"/>
        <v>0</v>
      </c>
      <c r="V165" s="192">
        <f t="shared" si="403"/>
        <v>0</v>
      </c>
      <c r="X165" s="172">
        <f t="shared" si="421"/>
        <v>0</v>
      </c>
      <c r="Y165" s="4">
        <f>'Ανάλυση για νέους πελάτες'!D125</f>
        <v>0</v>
      </c>
      <c r="Z165" s="285"/>
      <c r="AA165" s="172">
        <f t="shared" si="422"/>
        <v>0</v>
      </c>
      <c r="AB165" s="282">
        <f t="shared" si="423"/>
        <v>0</v>
      </c>
      <c r="AC165" s="172">
        <f t="shared" si="424"/>
        <v>0</v>
      </c>
      <c r="AD165" s="4">
        <f>'Ανάλυση για νέους πελάτες'!E125</f>
        <v>0</v>
      </c>
      <c r="AE165" s="4"/>
      <c r="AF165" s="172">
        <f t="shared" si="425"/>
        <v>0</v>
      </c>
      <c r="AG165" s="284">
        <f t="shared" si="426"/>
        <v>0</v>
      </c>
      <c r="AH165" s="172">
        <f t="shared" si="427"/>
        <v>0</v>
      </c>
      <c r="AI165" s="4"/>
      <c r="AJ165" s="4"/>
      <c r="AK165" s="172">
        <f t="shared" si="428"/>
        <v>0</v>
      </c>
      <c r="AL165" s="284">
        <f t="shared" si="429"/>
        <v>0</v>
      </c>
      <c r="AM165" s="172">
        <f t="shared" si="430"/>
        <v>0</v>
      </c>
      <c r="AN165" s="4"/>
      <c r="AO165" s="4"/>
      <c r="AP165" s="172">
        <f t="shared" si="431"/>
        <v>0</v>
      </c>
      <c r="AQ165" s="284">
        <f t="shared" si="432"/>
        <v>0</v>
      </c>
      <c r="AR165" s="172">
        <f t="shared" si="433"/>
        <v>0</v>
      </c>
      <c r="AS165" s="4"/>
      <c r="AT165" s="4"/>
      <c r="AU165" s="172">
        <f t="shared" si="434"/>
        <v>0</v>
      </c>
      <c r="AV165" s="284">
        <f t="shared" si="435"/>
        <v>0</v>
      </c>
      <c r="AW165" s="181">
        <f t="shared" si="436"/>
        <v>0</v>
      </c>
      <c r="AX165" s="192">
        <f t="shared" si="415"/>
        <v>0</v>
      </c>
    </row>
    <row r="166" spans="2:50" s="3" customFormat="1" ht="16.5" customHeight="1" outlineLevel="1" x14ac:dyDescent="0.25">
      <c r="B166" s="52" t="s">
        <v>308</v>
      </c>
      <c r="C166" s="56" t="s">
        <v>22</v>
      </c>
      <c r="D166" s="4"/>
      <c r="E166" s="4"/>
      <c r="F166" s="4"/>
      <c r="G166" s="172"/>
      <c r="H166" s="282">
        <f t="shared" si="395"/>
        <v>0</v>
      </c>
      <c r="I166" s="4"/>
      <c r="J166" s="172"/>
      <c r="K166" s="282">
        <f t="shared" si="397"/>
        <v>0</v>
      </c>
      <c r="L166" s="4"/>
      <c r="M166" s="172"/>
      <c r="N166" s="282">
        <f t="shared" si="399"/>
        <v>0</v>
      </c>
      <c r="O166" s="4"/>
      <c r="P166" s="158"/>
      <c r="Q166" s="283"/>
      <c r="R166" s="4"/>
      <c r="S166" s="172"/>
      <c r="T166" s="282">
        <f t="shared" si="401"/>
        <v>0</v>
      </c>
      <c r="U166" s="181">
        <f t="shared" si="402"/>
        <v>0</v>
      </c>
      <c r="V166" s="192">
        <f t="shared" si="403"/>
        <v>0</v>
      </c>
      <c r="X166" s="172">
        <f t="shared" si="421"/>
        <v>0</v>
      </c>
      <c r="Y166" s="4">
        <f>'Ανάλυση για νέους πελάτες'!D126</f>
        <v>0</v>
      </c>
      <c r="Z166" s="285"/>
      <c r="AA166" s="172">
        <f t="shared" si="422"/>
        <v>0</v>
      </c>
      <c r="AB166" s="282">
        <f t="shared" si="423"/>
        <v>0</v>
      </c>
      <c r="AC166" s="172">
        <f t="shared" si="424"/>
        <v>0</v>
      </c>
      <c r="AD166" s="4">
        <f>'Ανάλυση για νέους πελάτες'!E126</f>
        <v>0</v>
      </c>
      <c r="AE166" s="4"/>
      <c r="AF166" s="172">
        <f t="shared" si="425"/>
        <v>0</v>
      </c>
      <c r="AG166" s="284">
        <f t="shared" si="426"/>
        <v>0</v>
      </c>
      <c r="AH166" s="172">
        <f t="shared" si="427"/>
        <v>0</v>
      </c>
      <c r="AI166" s="4"/>
      <c r="AJ166" s="4"/>
      <c r="AK166" s="172">
        <f t="shared" si="428"/>
        <v>0</v>
      </c>
      <c r="AL166" s="284">
        <f t="shared" si="429"/>
        <v>0</v>
      </c>
      <c r="AM166" s="172">
        <f t="shared" si="430"/>
        <v>0</v>
      </c>
      <c r="AN166" s="4"/>
      <c r="AO166" s="4"/>
      <c r="AP166" s="172">
        <f t="shared" si="431"/>
        <v>0</v>
      </c>
      <c r="AQ166" s="284">
        <f t="shared" si="432"/>
        <v>0</v>
      </c>
      <c r="AR166" s="172">
        <f t="shared" si="433"/>
        <v>0</v>
      </c>
      <c r="AS166" s="4"/>
      <c r="AT166" s="4"/>
      <c r="AU166" s="172">
        <f t="shared" si="434"/>
        <v>0</v>
      </c>
      <c r="AV166" s="284">
        <f t="shared" si="435"/>
        <v>0</v>
      </c>
      <c r="AW166" s="181">
        <f t="shared" si="436"/>
        <v>0</v>
      </c>
      <c r="AX166" s="192">
        <f t="shared" si="415"/>
        <v>0</v>
      </c>
    </row>
    <row r="167" spans="2:50" s="3" customFormat="1" ht="16.5" customHeight="1" outlineLevel="1" x14ac:dyDescent="0.25">
      <c r="B167" s="52"/>
      <c r="C167" s="56"/>
      <c r="D167" s="4"/>
      <c r="E167" s="4"/>
      <c r="F167" s="4"/>
      <c r="G167" s="172"/>
      <c r="H167" s="282">
        <f t="shared" si="395"/>
        <v>0</v>
      </c>
      <c r="I167" s="4"/>
      <c r="J167" s="172"/>
      <c r="K167" s="282">
        <f t="shared" si="397"/>
        <v>0</v>
      </c>
      <c r="L167" s="4"/>
      <c r="M167" s="172"/>
      <c r="N167" s="282">
        <f t="shared" si="399"/>
        <v>0</v>
      </c>
      <c r="O167" s="4"/>
      <c r="P167" s="158"/>
      <c r="Q167" s="283"/>
      <c r="R167" s="4"/>
      <c r="S167" s="172"/>
      <c r="T167" s="282">
        <f t="shared" si="401"/>
        <v>0</v>
      </c>
      <c r="U167" s="181">
        <f t="shared" si="402"/>
        <v>0</v>
      </c>
      <c r="V167" s="192">
        <f t="shared" si="403"/>
        <v>0</v>
      </c>
      <c r="X167" s="172"/>
      <c r="Y167" s="4"/>
      <c r="Z167" s="285"/>
      <c r="AA167" s="172"/>
      <c r="AB167" s="282">
        <f t="shared" si="405"/>
        <v>0</v>
      </c>
      <c r="AC167" s="172"/>
      <c r="AD167" s="4"/>
      <c r="AE167" s="4"/>
      <c r="AF167" s="172"/>
      <c r="AG167" s="284">
        <f t="shared" si="407"/>
        <v>0</v>
      </c>
      <c r="AH167" s="172"/>
      <c r="AI167" s="4"/>
      <c r="AJ167" s="4"/>
      <c r="AK167" s="172"/>
      <c r="AL167" s="284">
        <f t="shared" si="409"/>
        <v>0</v>
      </c>
      <c r="AM167" s="172"/>
      <c r="AN167" s="4"/>
      <c r="AO167" s="4"/>
      <c r="AP167" s="172"/>
      <c r="AQ167" s="284">
        <f t="shared" si="411"/>
        <v>0</v>
      </c>
      <c r="AR167" s="172"/>
      <c r="AS167" s="4"/>
      <c r="AT167" s="4"/>
      <c r="AU167" s="172"/>
      <c r="AV167" s="284">
        <f t="shared" si="413"/>
        <v>0</v>
      </c>
      <c r="AW167" s="181"/>
      <c r="AX167" s="192">
        <f t="shared" si="415"/>
        <v>0</v>
      </c>
    </row>
    <row r="168" spans="2:50" s="3" customFormat="1" ht="15" customHeight="1" outlineLevel="1" x14ac:dyDescent="0.25">
      <c r="B168" s="404" t="s">
        <v>90</v>
      </c>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404"/>
      <c r="AE168" s="404"/>
      <c r="AF168" s="404"/>
      <c r="AG168" s="404"/>
      <c r="AH168" s="404"/>
      <c r="AI168" s="404"/>
      <c r="AJ168" s="404"/>
      <c r="AK168" s="404"/>
      <c r="AL168" s="404"/>
      <c r="AM168" s="404"/>
      <c r="AN168" s="404"/>
      <c r="AO168" s="404"/>
      <c r="AP168" s="404"/>
      <c r="AQ168" s="404"/>
      <c r="AR168" s="404"/>
      <c r="AS168" s="404"/>
      <c r="AT168" s="404"/>
      <c r="AU168" s="404"/>
      <c r="AV168" s="404"/>
      <c r="AW168" s="404"/>
      <c r="AX168" s="404"/>
    </row>
    <row r="169" spans="2:50" s="3" customFormat="1" ht="15" customHeight="1" outlineLevel="1" x14ac:dyDescent="0.25">
      <c r="B169" s="52" t="s">
        <v>82</v>
      </c>
      <c r="C169" s="56" t="s">
        <v>22</v>
      </c>
      <c r="D169" s="172">
        <f>SUM(D153:D167)</f>
        <v>0</v>
      </c>
      <c r="E169" s="172">
        <f>SUM(E153:E167)</f>
        <v>0</v>
      </c>
      <c r="F169" s="172">
        <f>SUM(F153:F167)</f>
        <v>0</v>
      </c>
      <c r="G169" s="172">
        <f>SUM(G153:G167)</f>
        <v>0</v>
      </c>
      <c r="H169" s="282">
        <f>IFERROR((G169-E169)/E169,0)</f>
        <v>0</v>
      </c>
      <c r="I169" s="172">
        <f>SUM(I153:I167)</f>
        <v>0</v>
      </c>
      <c r="J169" s="172">
        <f>SUM(J153:J167)</f>
        <v>0</v>
      </c>
      <c r="K169" s="282">
        <f t="shared" ref="K169" si="437">IFERROR((J169-G169)/G169,0)</f>
        <v>0</v>
      </c>
      <c r="L169" s="172">
        <f>SUM(L153:L167)</f>
        <v>0</v>
      </c>
      <c r="M169" s="172">
        <f>SUM(M153:M167)</f>
        <v>0</v>
      </c>
      <c r="N169" s="282">
        <f t="shared" ref="N169" si="438">IFERROR((M169-J169)/J169,0)</f>
        <v>0</v>
      </c>
      <c r="O169" s="172">
        <f>SUM(O153:O167)</f>
        <v>0</v>
      </c>
      <c r="P169" s="172"/>
      <c r="Q169" s="282"/>
      <c r="R169" s="172">
        <f>SUM(R153:R167)</f>
        <v>0</v>
      </c>
      <c r="S169" s="172">
        <f>SUM(S153:S167)</f>
        <v>0</v>
      </c>
      <c r="T169" s="282">
        <f>IFERROR((S169-M169)/M169,0)</f>
        <v>0</v>
      </c>
      <c r="U169" s="181">
        <f>D169+F169+I169+L169+R169</f>
        <v>0</v>
      </c>
      <c r="V169" s="192">
        <f>IFERROR((S169/E169)^(1/4)-1,0)</f>
        <v>0</v>
      </c>
      <c r="X169" s="187">
        <f>SUM(X153:X167)</f>
        <v>4</v>
      </c>
      <c r="Y169" s="187">
        <f>SUM(Y153:Y167)</f>
        <v>4</v>
      </c>
      <c r="Z169" s="187">
        <f>SUM(Z153:Z167)</f>
        <v>0</v>
      </c>
      <c r="AA169" s="187">
        <f>SUM(AA153:AA167)</f>
        <v>4</v>
      </c>
      <c r="AB169" s="282">
        <f>IFERROR((AA169-S169)/S169,0)</f>
        <v>0</v>
      </c>
      <c r="AC169" s="187">
        <f>SUM(AC153:AC167)</f>
        <v>4</v>
      </c>
      <c r="AD169" s="187">
        <f>SUM(AD153:AD167)</f>
        <v>4</v>
      </c>
      <c r="AE169" s="187">
        <f>SUM(AE153:AE167)</f>
        <v>0</v>
      </c>
      <c r="AF169" s="187">
        <f>SUM(AF153:AF167)</f>
        <v>8</v>
      </c>
      <c r="AG169" s="284">
        <f>IFERROR((AF169-AA169)/AA169,0)</f>
        <v>1</v>
      </c>
      <c r="AH169" s="187">
        <f>SUM(AH153:AH167)</f>
        <v>0</v>
      </c>
      <c r="AI169" s="187">
        <f>SUM(AI153:AI167)</f>
        <v>0</v>
      </c>
      <c r="AJ169" s="187">
        <f>SUM(AJ153:AJ167)</f>
        <v>0</v>
      </c>
      <c r="AK169" s="187">
        <f>SUM(AK153:AK167)</f>
        <v>8</v>
      </c>
      <c r="AL169" s="284">
        <f t="shared" ref="AL169" si="439">IFERROR((AK169-AF169)/AF169,0)</f>
        <v>0</v>
      </c>
      <c r="AM169" s="187">
        <f>SUM(AM153:AM167)</f>
        <v>0</v>
      </c>
      <c r="AN169" s="187">
        <f>SUM(AN153:AN167)</f>
        <v>0</v>
      </c>
      <c r="AO169" s="187">
        <f>SUM(AO153:AO167)</f>
        <v>0</v>
      </c>
      <c r="AP169" s="187">
        <f>SUM(AP153:AP167)</f>
        <v>8</v>
      </c>
      <c r="AQ169" s="284">
        <f t="shared" ref="AQ169" si="440">IFERROR((AP169-AK169)/AK169,0)</f>
        <v>0</v>
      </c>
      <c r="AR169" s="187">
        <f>SUM(AR153:AR167)</f>
        <v>0</v>
      </c>
      <c r="AS169" s="187">
        <f>SUM(AS153:AS167)</f>
        <v>0</v>
      </c>
      <c r="AT169" s="187">
        <f>SUM(AT153:AT167)</f>
        <v>0</v>
      </c>
      <c r="AU169" s="187">
        <f>SUM(AU153:AU167)</f>
        <v>8</v>
      </c>
      <c r="AV169" s="284">
        <f t="shared" ref="AV169" si="441">IFERROR((AU169-AP169)/AP169,0)</f>
        <v>0</v>
      </c>
      <c r="AW169" s="187">
        <f>SUM(AW153:AW167)</f>
        <v>8</v>
      </c>
      <c r="AX169" s="192">
        <f>IFERROR((AU169/AA169)^(1/4)-1,0)</f>
        <v>0.18920711500272103</v>
      </c>
    </row>
    <row r="171" spans="2:50" x14ac:dyDescent="0.25">
      <c r="X171" s="17"/>
    </row>
    <row r="172" spans="2:50" ht="15.75" x14ac:dyDescent="0.25">
      <c r="W172" s="115"/>
    </row>
  </sheetData>
  <mergeCells count="143">
    <mergeCell ref="R151:T151"/>
    <mergeCell ref="U150:V151"/>
    <mergeCell ref="U127:V128"/>
    <mergeCell ref="D128:E128"/>
    <mergeCell ref="F128:H128"/>
    <mergeCell ref="I128:K128"/>
    <mergeCell ref="L128:N128"/>
    <mergeCell ref="O128:Q128"/>
    <mergeCell ref="X128:AB128"/>
    <mergeCell ref="B148:AX148"/>
    <mergeCell ref="B150:B152"/>
    <mergeCell ref="D150:Q150"/>
    <mergeCell ref="X150:AX150"/>
    <mergeCell ref="D151:E151"/>
    <mergeCell ref="F151:H151"/>
    <mergeCell ref="I151:K151"/>
    <mergeCell ref="L151:N151"/>
    <mergeCell ref="O151:Q151"/>
    <mergeCell ref="X151:AB151"/>
    <mergeCell ref="AC151:AG151"/>
    <mergeCell ref="AH151:AL151"/>
    <mergeCell ref="AM151:AQ151"/>
    <mergeCell ref="AR151:AV151"/>
    <mergeCell ref="X127:AX127"/>
    <mergeCell ref="AC128:AG128"/>
    <mergeCell ref="AH128:AL128"/>
    <mergeCell ref="AM128:AQ128"/>
    <mergeCell ref="D81:Q81"/>
    <mergeCell ref="X81:AX81"/>
    <mergeCell ref="D82:E82"/>
    <mergeCell ref="F82:H82"/>
    <mergeCell ref="I82:K82"/>
    <mergeCell ref="L82:N82"/>
    <mergeCell ref="O82:Q82"/>
    <mergeCell ref="X82:AB82"/>
    <mergeCell ref="AC82:AG82"/>
    <mergeCell ref="AH82:AL82"/>
    <mergeCell ref="AM82:AQ82"/>
    <mergeCell ref="AR82:AV82"/>
    <mergeCell ref="AW82:AX82"/>
    <mergeCell ref="B125:AX125"/>
    <mergeCell ref="C104:C106"/>
    <mergeCell ref="B104:B106"/>
    <mergeCell ref="R127:T127"/>
    <mergeCell ref="AR128:AV128"/>
    <mergeCell ref="AW128:AX128"/>
    <mergeCell ref="AW105:AX105"/>
    <mergeCell ref="D127:Q127"/>
    <mergeCell ref="AM59:AQ59"/>
    <mergeCell ref="AR59:AV59"/>
    <mergeCell ref="AW59:AX59"/>
    <mergeCell ref="F36:H36"/>
    <mergeCell ref="I36:K36"/>
    <mergeCell ref="L36:N36"/>
    <mergeCell ref="O36:Q36"/>
    <mergeCell ref="X36:AB36"/>
    <mergeCell ref="AC36:AG36"/>
    <mergeCell ref="AH36:AL36"/>
    <mergeCell ref="AM36:AQ36"/>
    <mergeCell ref="AR36:AV36"/>
    <mergeCell ref="R58:T58"/>
    <mergeCell ref="AW151:AX151"/>
    <mergeCell ref="B5:I5"/>
    <mergeCell ref="B9:AX9"/>
    <mergeCell ref="O12:Q12"/>
    <mergeCell ref="AH12:AL12"/>
    <mergeCell ref="AM12:AQ12"/>
    <mergeCell ref="AR12:AV12"/>
    <mergeCell ref="B56:AX56"/>
    <mergeCell ref="B58:B60"/>
    <mergeCell ref="C58:C60"/>
    <mergeCell ref="AW12:AX12"/>
    <mergeCell ref="B33:AX33"/>
    <mergeCell ref="D11:Q11"/>
    <mergeCell ref="R11:T11"/>
    <mergeCell ref="X11:AX11"/>
    <mergeCell ref="B11:B13"/>
    <mergeCell ref="C11:C13"/>
    <mergeCell ref="U11:V12"/>
    <mergeCell ref="D35:Q35"/>
    <mergeCell ref="X35:AX35"/>
    <mergeCell ref="R36:T36"/>
    <mergeCell ref="R59:T59"/>
    <mergeCell ref="U58:V59"/>
    <mergeCell ref="U35:V36"/>
    <mergeCell ref="B102:AX102"/>
    <mergeCell ref="B79:AX79"/>
    <mergeCell ref="I12:K12"/>
    <mergeCell ref="L12:N12"/>
    <mergeCell ref="R12:T12"/>
    <mergeCell ref="X12:AB12"/>
    <mergeCell ref="AC12:AG12"/>
    <mergeCell ref="B35:B37"/>
    <mergeCell ref="C35:C37"/>
    <mergeCell ref="R81:T81"/>
    <mergeCell ref="B81:B83"/>
    <mergeCell ref="C81:C83"/>
    <mergeCell ref="D36:E36"/>
    <mergeCell ref="AW36:AX36"/>
    <mergeCell ref="D58:Q58"/>
    <mergeCell ref="X58:AX58"/>
    <mergeCell ref="D59:E59"/>
    <mergeCell ref="F59:H59"/>
    <mergeCell ref="I59:K59"/>
    <mergeCell ref="L59:N59"/>
    <mergeCell ref="O59:Q59"/>
    <mergeCell ref="X59:AB59"/>
    <mergeCell ref="AC59:AG59"/>
    <mergeCell ref="AH59:AL59"/>
    <mergeCell ref="F105:H105"/>
    <mergeCell ref="I105:K105"/>
    <mergeCell ref="L105:N105"/>
    <mergeCell ref="O105:Q105"/>
    <mergeCell ref="X105:AB105"/>
    <mergeCell ref="AC105:AG105"/>
    <mergeCell ref="AH105:AL105"/>
    <mergeCell ref="AM105:AQ105"/>
    <mergeCell ref="AR105:AV105"/>
    <mergeCell ref="U104:V105"/>
    <mergeCell ref="J2:L2"/>
    <mergeCell ref="D12:E12"/>
    <mergeCell ref="F12:H12"/>
    <mergeCell ref="R104:T104"/>
    <mergeCell ref="C2:H2"/>
    <mergeCell ref="R35:T35"/>
    <mergeCell ref="R82:T82"/>
    <mergeCell ref="U81:V82"/>
    <mergeCell ref="B168:AX168"/>
    <mergeCell ref="B29:AX29"/>
    <mergeCell ref="B53:AX53"/>
    <mergeCell ref="B76:AX76"/>
    <mergeCell ref="B99:AX99"/>
    <mergeCell ref="B122:AX122"/>
    <mergeCell ref="B145:AX145"/>
    <mergeCell ref="R150:T150"/>
    <mergeCell ref="B127:B129"/>
    <mergeCell ref="C127:C129"/>
    <mergeCell ref="C150:C152"/>
    <mergeCell ref="R105:T105"/>
    <mergeCell ref="R128:T128"/>
    <mergeCell ref="D104:Q104"/>
    <mergeCell ref="X104:AX104"/>
    <mergeCell ref="D105:E105"/>
  </mergeCells>
  <hyperlinks>
    <hyperlink ref="J2" location="'Αρχική σελίδα'!A1" display="Πίσω στην αρχική σελίδα" xr:uid="{F2DB9110-2100-4169-85A2-BE114765BB53}"/>
  </hyperlinks>
  <pageMargins left="0.7" right="0.7" top="0.75" bottom="0.75" header="0.3" footer="0.3"/>
  <pageSetup paperSize="8"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sheetPr>
  <dimension ref="A2:AX172"/>
  <sheetViews>
    <sheetView showGridLines="0" topLeftCell="R1" zoomScale="60" zoomScaleNormal="60" workbookViewId="0">
      <selection activeCell="AH23" sqref="AH23:AL23"/>
    </sheetView>
  </sheetViews>
  <sheetFormatPr defaultRowHeight="15" outlineLevelRow="1" x14ac:dyDescent="0.25"/>
  <cols>
    <col min="1" max="1" width="2.85546875" customWidth="1"/>
    <col min="2" max="2" width="28.28515625" customWidth="1"/>
    <col min="3" max="21" width="13.7109375" customWidth="1"/>
    <col min="22" max="22" width="18.7109375" customWidth="1"/>
    <col min="23" max="23" width="2.140625" customWidth="1"/>
    <col min="24" max="49" width="13.7109375" customWidth="1"/>
    <col min="50" max="50" width="18.7109375" customWidth="1"/>
  </cols>
  <sheetData>
    <row r="2" spans="1:50" ht="18.75" x14ac:dyDescent="0.3">
      <c r="B2" s="1" t="s">
        <v>1</v>
      </c>
      <c r="C2" s="353" t="str">
        <f>'Αρχική σελίδα'!C3</f>
        <v>HENGAS</v>
      </c>
      <c r="D2" s="353"/>
      <c r="E2" s="353"/>
      <c r="F2" s="353"/>
      <c r="G2" s="353"/>
      <c r="H2" s="353"/>
      <c r="J2" s="354" t="s">
        <v>213</v>
      </c>
      <c r="K2" s="354"/>
      <c r="L2" s="354"/>
    </row>
    <row r="3" spans="1:50" ht="18.75" x14ac:dyDescent="0.3">
      <c r="B3" s="2" t="s">
        <v>2</v>
      </c>
      <c r="C3" s="111">
        <f>'Αρχική σελίδα'!C4</f>
        <v>2023</v>
      </c>
      <c r="D3" s="48" t="s">
        <v>0</v>
      </c>
      <c r="E3" s="48">
        <f>C3+4</f>
        <v>2027</v>
      </c>
    </row>
    <row r="4" spans="1:50" ht="14.45" customHeight="1" x14ac:dyDescent="0.3">
      <c r="C4" s="2"/>
      <c r="D4" s="48"/>
      <c r="E4" s="48"/>
    </row>
    <row r="5" spans="1:50" ht="56.45" customHeight="1" x14ac:dyDescent="0.25">
      <c r="B5" s="355" t="s">
        <v>245</v>
      </c>
      <c r="C5" s="355"/>
      <c r="D5" s="355"/>
      <c r="E5" s="355"/>
      <c r="F5" s="355"/>
      <c r="G5" s="355"/>
      <c r="H5" s="355"/>
      <c r="I5" s="355"/>
    </row>
    <row r="6" spans="1:50" x14ac:dyDescent="0.25">
      <c r="B6" s="271"/>
      <c r="C6" s="271"/>
      <c r="D6" s="271"/>
      <c r="E6" s="271"/>
      <c r="F6" s="271"/>
      <c r="G6" s="271"/>
      <c r="H6" s="271"/>
    </row>
    <row r="7" spans="1:50" ht="18.75" x14ac:dyDescent="0.3">
      <c r="B7" s="112"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(2018 - 2022) και εξέλιξη σύμφωνα με το Πρόγραμμα Ανάπτυξης  2023 - 2027</v>
      </c>
      <c r="C7" s="113"/>
      <c r="D7" s="113"/>
      <c r="E7" s="113"/>
      <c r="F7" s="113"/>
      <c r="G7" s="113"/>
      <c r="H7" s="113"/>
      <c r="I7" s="113"/>
      <c r="J7" s="114"/>
      <c r="K7" s="110"/>
    </row>
    <row r="8" spans="1:50" ht="18.75" x14ac:dyDescent="0.3">
      <c r="B8" s="276"/>
      <c r="C8" s="57"/>
      <c r="D8" s="57"/>
      <c r="E8" s="57"/>
      <c r="F8" s="57"/>
      <c r="G8" s="57"/>
      <c r="H8" s="57"/>
      <c r="I8" s="57"/>
      <c r="J8" s="23"/>
    </row>
    <row r="9" spans="1:50" ht="15.75" x14ac:dyDescent="0.25">
      <c r="B9" s="352" t="s">
        <v>171</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row>
    <row r="10" spans="1:50"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50" outlineLevel="1" x14ac:dyDescent="0.25">
      <c r="B11" s="409"/>
      <c r="C11" s="396" t="s">
        <v>20</v>
      </c>
      <c r="D11" s="372" t="s">
        <v>262</v>
      </c>
      <c r="E11" s="373"/>
      <c r="F11" s="373"/>
      <c r="G11" s="373"/>
      <c r="H11" s="373"/>
      <c r="I11" s="373"/>
      <c r="J11" s="373"/>
      <c r="K11" s="373"/>
      <c r="L11" s="373"/>
      <c r="M11" s="373"/>
      <c r="N11" s="373"/>
      <c r="O11" s="373"/>
      <c r="P11" s="373"/>
      <c r="Q11" s="374"/>
      <c r="R11" s="372" t="s">
        <v>277</v>
      </c>
      <c r="S11" s="373"/>
      <c r="T11" s="374"/>
      <c r="U11" s="388" t="str">
        <f xml:space="preserve"> D12&amp;" - "&amp;R12</f>
        <v>2018 - 2022</v>
      </c>
      <c r="V11" s="398"/>
      <c r="X11" s="372" t="s">
        <v>261</v>
      </c>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4"/>
    </row>
    <row r="12" spans="1:50" outlineLevel="1" x14ac:dyDescent="0.25">
      <c r="B12" s="410"/>
      <c r="C12" s="396"/>
      <c r="D12" s="372">
        <f>$C$3-5</f>
        <v>2018</v>
      </c>
      <c r="E12" s="374"/>
      <c r="F12" s="372">
        <f>$C$3-4</f>
        <v>2019</v>
      </c>
      <c r="G12" s="373"/>
      <c r="H12" s="374"/>
      <c r="I12" s="372">
        <f>$C$3-3</f>
        <v>2020</v>
      </c>
      <c r="J12" s="373"/>
      <c r="K12" s="374"/>
      <c r="L12" s="372">
        <f>$C$3-2</f>
        <v>2021</v>
      </c>
      <c r="M12" s="373"/>
      <c r="N12" s="374"/>
      <c r="O12" s="372" t="str">
        <f>$C$3-1&amp;""&amp;" ("&amp;"Σεπτ"&amp;")"</f>
        <v>2022 (Σεπτ)</v>
      </c>
      <c r="P12" s="373"/>
      <c r="Q12" s="374"/>
      <c r="R12" s="372">
        <f>$C$3-1</f>
        <v>2022</v>
      </c>
      <c r="S12" s="373"/>
      <c r="T12" s="374"/>
      <c r="U12" s="390"/>
      <c r="V12" s="399"/>
      <c r="X12" s="372">
        <f>$C$3</f>
        <v>2023</v>
      </c>
      <c r="Y12" s="373"/>
      <c r="Z12" s="373"/>
      <c r="AA12" s="373"/>
      <c r="AB12" s="374"/>
      <c r="AC12" s="372">
        <f>$C$3+1</f>
        <v>2024</v>
      </c>
      <c r="AD12" s="373"/>
      <c r="AE12" s="373"/>
      <c r="AF12" s="373"/>
      <c r="AG12" s="374"/>
      <c r="AH12" s="372">
        <f>$C$3+2</f>
        <v>2025</v>
      </c>
      <c r="AI12" s="373"/>
      <c r="AJ12" s="373"/>
      <c r="AK12" s="373"/>
      <c r="AL12" s="374"/>
      <c r="AM12" s="372">
        <f>$C$3+3</f>
        <v>2026</v>
      </c>
      <c r="AN12" s="373"/>
      <c r="AO12" s="373"/>
      <c r="AP12" s="373"/>
      <c r="AQ12" s="374"/>
      <c r="AR12" s="372">
        <f>$C$3+4</f>
        <v>2027</v>
      </c>
      <c r="AS12" s="373"/>
      <c r="AT12" s="373"/>
      <c r="AU12" s="373"/>
      <c r="AV12" s="374"/>
      <c r="AW12" s="376" t="str">
        <f>X12&amp;" - "&amp;AR12</f>
        <v>2023 - 2027</v>
      </c>
      <c r="AX12" s="392"/>
    </row>
    <row r="13" spans="1:50" ht="45" outlineLevel="1" x14ac:dyDescent="0.25">
      <c r="B13" s="411"/>
      <c r="C13" s="396"/>
      <c r="D13" s="67" t="s">
        <v>6</v>
      </c>
      <c r="E13" s="68" t="s">
        <v>7</v>
      </c>
      <c r="F13" s="67" t="s">
        <v>6</v>
      </c>
      <c r="G13" s="9" t="s">
        <v>7</v>
      </c>
      <c r="H13" s="68" t="s">
        <v>81</v>
      </c>
      <c r="I13" s="67" t="s">
        <v>6</v>
      </c>
      <c r="J13" s="9" t="s">
        <v>7</v>
      </c>
      <c r="K13" s="68" t="s">
        <v>81</v>
      </c>
      <c r="L13" s="67" t="s">
        <v>6</v>
      </c>
      <c r="M13" s="9" t="s">
        <v>7</v>
      </c>
      <c r="N13" s="68" t="s">
        <v>81</v>
      </c>
      <c r="O13" s="67" t="s">
        <v>6</v>
      </c>
      <c r="P13" s="9" t="s">
        <v>7</v>
      </c>
      <c r="Q13" s="68" t="s">
        <v>81</v>
      </c>
      <c r="R13" s="67" t="s">
        <v>6</v>
      </c>
      <c r="S13" s="9" t="s">
        <v>7</v>
      </c>
      <c r="T13" s="68" t="s">
        <v>81</v>
      </c>
      <c r="U13" s="67" t="s">
        <v>17</v>
      </c>
      <c r="V13" s="132" t="s">
        <v>83</v>
      </c>
      <c r="W13" s="294"/>
      <c r="X13" s="78" t="s">
        <v>6</v>
      </c>
      <c r="Y13" s="117" t="s">
        <v>88</v>
      </c>
      <c r="Z13" s="117" t="s">
        <v>89</v>
      </c>
      <c r="AA13" s="9" t="s">
        <v>7</v>
      </c>
      <c r="AB13" s="68" t="s">
        <v>81</v>
      </c>
      <c r="AC13" s="78" t="s">
        <v>6</v>
      </c>
      <c r="AD13" s="117" t="s">
        <v>88</v>
      </c>
      <c r="AE13" s="117" t="s">
        <v>89</v>
      </c>
      <c r="AF13" s="9" t="s">
        <v>7</v>
      </c>
      <c r="AG13" s="68" t="s">
        <v>81</v>
      </c>
      <c r="AH13" s="78" t="s">
        <v>6</v>
      </c>
      <c r="AI13" s="117" t="s">
        <v>88</v>
      </c>
      <c r="AJ13" s="117" t="s">
        <v>89</v>
      </c>
      <c r="AK13" s="9" t="s">
        <v>7</v>
      </c>
      <c r="AL13" s="68" t="s">
        <v>81</v>
      </c>
      <c r="AM13" s="78" t="s">
        <v>6</v>
      </c>
      <c r="AN13" s="117" t="s">
        <v>88</v>
      </c>
      <c r="AO13" s="117" t="s">
        <v>89</v>
      </c>
      <c r="AP13" s="9" t="s">
        <v>7</v>
      </c>
      <c r="AQ13" s="68" t="s">
        <v>81</v>
      </c>
      <c r="AR13" s="78" t="s">
        <v>6</v>
      </c>
      <c r="AS13" s="117" t="s">
        <v>88</v>
      </c>
      <c r="AT13" s="117" t="s">
        <v>89</v>
      </c>
      <c r="AU13" s="9" t="s">
        <v>7</v>
      </c>
      <c r="AV13" s="68" t="s">
        <v>81</v>
      </c>
      <c r="AW13" s="67" t="s">
        <v>17</v>
      </c>
      <c r="AX13" s="132" t="s">
        <v>83</v>
      </c>
    </row>
    <row r="14" spans="1:50" outlineLevel="1" x14ac:dyDescent="0.25">
      <c r="B14" s="281" t="s">
        <v>283</v>
      </c>
      <c r="C14" s="64" t="s">
        <v>22</v>
      </c>
      <c r="D14" s="188">
        <f t="shared" ref="D14:F19" si="0">D38+D61+D84+D107+D130+D153</f>
        <v>0</v>
      </c>
      <c r="E14" s="189">
        <f t="shared" si="0"/>
        <v>0</v>
      </c>
      <c r="F14" s="188">
        <f t="shared" si="0"/>
        <v>0</v>
      </c>
      <c r="G14" s="186">
        <f t="shared" ref="G14:G22" si="1">E14+F14</f>
        <v>0</v>
      </c>
      <c r="H14" s="190">
        <f t="shared" ref="H14:H28" si="2">IFERROR((G14-E14)/E14,0)</f>
        <v>0</v>
      </c>
      <c r="I14" s="188">
        <f t="shared" ref="I14:I19" si="3">I38+I61+I84+I107+I130+I153</f>
        <v>0</v>
      </c>
      <c r="J14" s="186">
        <f t="shared" ref="J14:J22" si="4">G14+I14</f>
        <v>0</v>
      </c>
      <c r="K14" s="190">
        <f t="shared" ref="K14:K30" si="5">IFERROR((J14-G14)/G14,0)</f>
        <v>0</v>
      </c>
      <c r="L14" s="188">
        <f t="shared" ref="L14:L19" si="6">L38+L61+L84+L107+L130+L153</f>
        <v>0</v>
      </c>
      <c r="M14" s="186">
        <f t="shared" ref="M14:M22" si="7">J14+L14</f>
        <v>0</v>
      </c>
      <c r="N14" s="190">
        <f t="shared" ref="N14:N30" si="8">IFERROR((M14-J14)/J14,0)</f>
        <v>0</v>
      </c>
      <c r="O14" s="188">
        <f>O38+O61+O84+O107+O130+O153-O61</f>
        <v>30</v>
      </c>
      <c r="P14" s="150"/>
      <c r="Q14" s="153"/>
      <c r="R14" s="188">
        <f>R38+R61+R84+R107+R130+R153-R61</f>
        <v>30</v>
      </c>
      <c r="S14" s="186">
        <f t="shared" ref="S14:S22" si="9">M14+R14</f>
        <v>30</v>
      </c>
      <c r="T14" s="190">
        <f t="shared" ref="T14:T30" si="10">IFERROR((S14-M14)/M14,0)</f>
        <v>0</v>
      </c>
      <c r="U14" s="198">
        <f t="shared" ref="U14:U28" si="11">D14+F14+I14+L14+R14</f>
        <v>30</v>
      </c>
      <c r="V14" s="199">
        <f t="shared" ref="V14:V28" si="12">IFERROR((S14/E14)^(1/4)-1,0)</f>
        <v>0</v>
      </c>
      <c r="W14" s="294"/>
      <c r="X14" s="209">
        <f>X38+X84+X107+X130+X153</f>
        <v>153</v>
      </c>
      <c r="Y14" s="187">
        <f t="shared" ref="Y14:AA14" si="13">Y38+Y84+Y107+Y130+Y153</f>
        <v>153</v>
      </c>
      <c r="Z14" s="187">
        <f t="shared" si="13"/>
        <v>0</v>
      </c>
      <c r="AA14" s="187">
        <f t="shared" si="13"/>
        <v>183</v>
      </c>
      <c r="AB14" s="202">
        <f t="shared" ref="AB14:AB28" si="14">IFERROR((AA14-S14)/S14,0)</f>
        <v>5.0999999999999996</v>
      </c>
      <c r="AC14" s="209">
        <f>AC38+AC84+AC107+AC130+AC153</f>
        <v>210</v>
      </c>
      <c r="AD14" s="187">
        <f t="shared" ref="AD14:AF14" si="15">AD38+AD84+AD107+AD130+AD153</f>
        <v>210</v>
      </c>
      <c r="AE14" s="187">
        <f t="shared" si="15"/>
        <v>0</v>
      </c>
      <c r="AF14" s="187">
        <f t="shared" si="15"/>
        <v>393</v>
      </c>
      <c r="AG14" s="202">
        <f t="shared" ref="AG14:AG30" si="16">IFERROR((AF14-AA14)/AA14,0)</f>
        <v>1.1475409836065573</v>
      </c>
      <c r="AH14" s="209">
        <f>AH38+AH84+AH107+AH130+AH153</f>
        <v>105</v>
      </c>
      <c r="AI14" s="187">
        <f t="shared" ref="AI14:AK14" si="17">AI38+AI84+AI107+AI130+AI153</f>
        <v>105</v>
      </c>
      <c r="AJ14" s="187">
        <f t="shared" si="17"/>
        <v>0</v>
      </c>
      <c r="AK14" s="187">
        <f t="shared" si="17"/>
        <v>498</v>
      </c>
      <c r="AL14" s="202">
        <f t="shared" ref="AL14:AL30" si="18">IFERROR((AK14-AF14)/AF14,0)</f>
        <v>0.26717557251908397</v>
      </c>
      <c r="AM14" s="209">
        <f>AM38+AM84+AM107+AM130+AM153</f>
        <v>30</v>
      </c>
      <c r="AN14" s="187">
        <f t="shared" ref="AN14:AP14" si="19">AN38+AN84+AN107+AN130+AN153</f>
        <v>30</v>
      </c>
      <c r="AO14" s="187">
        <f t="shared" si="19"/>
        <v>0</v>
      </c>
      <c r="AP14" s="187">
        <f t="shared" si="19"/>
        <v>528</v>
      </c>
      <c r="AQ14" s="202">
        <f t="shared" ref="AQ14:AQ30" si="20">IFERROR((AP14-AK14)/AK14,0)</f>
        <v>6.0240963855421686E-2</v>
      </c>
      <c r="AR14" s="209">
        <f>AR38+AR84+AR107+AR130+AR153</f>
        <v>0</v>
      </c>
      <c r="AS14" s="187">
        <f t="shared" ref="AS14:AU14" si="21">AS38+AS84+AS107+AS130+AS153</f>
        <v>0</v>
      </c>
      <c r="AT14" s="187">
        <f t="shared" si="21"/>
        <v>0</v>
      </c>
      <c r="AU14" s="187">
        <f t="shared" si="21"/>
        <v>528</v>
      </c>
      <c r="AV14" s="202">
        <f t="shared" ref="AV14:AV30" si="22">IFERROR((AU14-AP14)/AP14,0)</f>
        <v>0</v>
      </c>
      <c r="AW14" s="198">
        <f t="shared" ref="AW14:AW22" si="23">X14+AC14+AH14+AM14+AR14</f>
        <v>498</v>
      </c>
      <c r="AX14" s="199">
        <f t="shared" ref="AX14:AX30" si="24">IFERROR((AU14/AA14)^(1/4)-1,0)</f>
        <v>0.30330394009256434</v>
      </c>
    </row>
    <row r="15" spans="1:50" s="55" customFormat="1" outlineLevel="1" x14ac:dyDescent="0.25">
      <c r="A15"/>
      <c r="B15" s="52" t="s">
        <v>284</v>
      </c>
      <c r="C15" s="64" t="s">
        <v>22</v>
      </c>
      <c r="D15" s="188">
        <f t="shared" si="0"/>
        <v>0</v>
      </c>
      <c r="E15" s="189">
        <f t="shared" si="0"/>
        <v>0</v>
      </c>
      <c r="F15" s="188">
        <f t="shared" si="0"/>
        <v>0</v>
      </c>
      <c r="G15" s="186">
        <f t="shared" si="1"/>
        <v>0</v>
      </c>
      <c r="H15" s="190">
        <f t="shared" si="2"/>
        <v>0</v>
      </c>
      <c r="I15" s="188">
        <f t="shared" si="3"/>
        <v>0</v>
      </c>
      <c r="J15" s="186">
        <f t="shared" si="4"/>
        <v>0</v>
      </c>
      <c r="K15" s="190">
        <f t="shared" si="5"/>
        <v>0</v>
      </c>
      <c r="L15" s="188">
        <f t="shared" si="6"/>
        <v>0</v>
      </c>
      <c r="M15" s="186">
        <f t="shared" si="7"/>
        <v>0</v>
      </c>
      <c r="N15" s="190">
        <f t="shared" si="8"/>
        <v>0</v>
      </c>
      <c r="O15" s="188">
        <f>O39+O62+O85+O108+O131+O154</f>
        <v>0</v>
      </c>
      <c r="P15" s="151"/>
      <c r="Q15" s="154"/>
      <c r="R15" s="188">
        <f>R39+R62+R85+R108+R131+R154</f>
        <v>0</v>
      </c>
      <c r="S15" s="186">
        <f t="shared" si="9"/>
        <v>0</v>
      </c>
      <c r="T15" s="190">
        <f t="shared" si="10"/>
        <v>0</v>
      </c>
      <c r="U15" s="198">
        <f t="shared" si="11"/>
        <v>0</v>
      </c>
      <c r="V15" s="199">
        <f t="shared" si="12"/>
        <v>0</v>
      </c>
      <c r="W15" s="294"/>
      <c r="X15" s="209">
        <f t="shared" ref="X15:AA15" si="25">X39+X85+X108+X131+X154</f>
        <v>242</v>
      </c>
      <c r="Y15" s="187">
        <f t="shared" si="25"/>
        <v>196</v>
      </c>
      <c r="Z15" s="187">
        <f t="shared" si="25"/>
        <v>46</v>
      </c>
      <c r="AA15" s="187">
        <f t="shared" si="25"/>
        <v>242</v>
      </c>
      <c r="AB15" s="202">
        <f t="shared" si="14"/>
        <v>0</v>
      </c>
      <c r="AC15" s="209">
        <f t="shared" ref="AC15:AF15" si="26">AC39+AC85+AC108+AC131+AC154</f>
        <v>290</v>
      </c>
      <c r="AD15" s="187">
        <f t="shared" si="26"/>
        <v>290</v>
      </c>
      <c r="AE15" s="187">
        <f t="shared" si="26"/>
        <v>0</v>
      </c>
      <c r="AF15" s="187">
        <f t="shared" si="26"/>
        <v>532</v>
      </c>
      <c r="AG15" s="202">
        <f t="shared" si="16"/>
        <v>1.1983471074380165</v>
      </c>
      <c r="AH15" s="209">
        <f t="shared" ref="AH15:AK15" si="27">AH39+AH85+AH108+AH131+AH154</f>
        <v>268</v>
      </c>
      <c r="AI15" s="187">
        <f t="shared" si="27"/>
        <v>268</v>
      </c>
      <c r="AJ15" s="187">
        <f t="shared" si="27"/>
        <v>0</v>
      </c>
      <c r="AK15" s="187">
        <f t="shared" si="27"/>
        <v>800</v>
      </c>
      <c r="AL15" s="202">
        <f t="shared" si="18"/>
        <v>0.50375939849624063</v>
      </c>
      <c r="AM15" s="209">
        <f t="shared" ref="AM15:AP15" si="28">AM39+AM85+AM108+AM131+AM154</f>
        <v>68</v>
      </c>
      <c r="AN15" s="187">
        <f t="shared" si="28"/>
        <v>68</v>
      </c>
      <c r="AO15" s="187">
        <f t="shared" si="28"/>
        <v>0</v>
      </c>
      <c r="AP15" s="187">
        <f t="shared" si="28"/>
        <v>868</v>
      </c>
      <c r="AQ15" s="202">
        <f t="shared" si="20"/>
        <v>8.5000000000000006E-2</v>
      </c>
      <c r="AR15" s="209">
        <f t="shared" ref="AR15:AU15" si="29">AR39+AR85+AR108+AR131+AR154</f>
        <v>0</v>
      </c>
      <c r="AS15" s="187">
        <f t="shared" si="29"/>
        <v>0</v>
      </c>
      <c r="AT15" s="187">
        <f t="shared" si="29"/>
        <v>0</v>
      </c>
      <c r="AU15" s="187">
        <f t="shared" si="29"/>
        <v>868</v>
      </c>
      <c r="AV15" s="202">
        <f t="shared" si="22"/>
        <v>0</v>
      </c>
      <c r="AW15" s="198">
        <f t="shared" si="23"/>
        <v>868</v>
      </c>
      <c r="AX15" s="199">
        <f t="shared" si="24"/>
        <v>0.37618268660416598</v>
      </c>
    </row>
    <row r="16" spans="1:50" s="55" customFormat="1" outlineLevel="1" x14ac:dyDescent="0.25">
      <c r="A16"/>
      <c r="B16" s="52" t="s">
        <v>285</v>
      </c>
      <c r="C16" s="64" t="s">
        <v>22</v>
      </c>
      <c r="D16" s="188">
        <f t="shared" si="0"/>
        <v>0</v>
      </c>
      <c r="E16" s="189">
        <f t="shared" si="0"/>
        <v>0</v>
      </c>
      <c r="F16" s="188">
        <f t="shared" si="0"/>
        <v>0</v>
      </c>
      <c r="G16" s="186">
        <f t="shared" si="1"/>
        <v>0</v>
      </c>
      <c r="H16" s="190">
        <f t="shared" si="2"/>
        <v>0</v>
      </c>
      <c r="I16" s="188">
        <f t="shared" si="3"/>
        <v>0</v>
      </c>
      <c r="J16" s="186">
        <f t="shared" si="4"/>
        <v>0</v>
      </c>
      <c r="K16" s="190">
        <f t="shared" si="5"/>
        <v>0</v>
      </c>
      <c r="L16" s="188">
        <f t="shared" si="6"/>
        <v>0</v>
      </c>
      <c r="M16" s="186">
        <f t="shared" si="7"/>
        <v>0</v>
      </c>
      <c r="N16" s="190">
        <f t="shared" si="8"/>
        <v>0</v>
      </c>
      <c r="O16" s="188">
        <f>O40+O63+O86+O109+O132+O155</f>
        <v>0</v>
      </c>
      <c r="P16" s="151"/>
      <c r="Q16" s="154"/>
      <c r="R16" s="188">
        <f>R40+R63+R86+R109+R132+R155</f>
        <v>0</v>
      </c>
      <c r="S16" s="186">
        <f t="shared" si="9"/>
        <v>0</v>
      </c>
      <c r="T16" s="190">
        <f t="shared" si="10"/>
        <v>0</v>
      </c>
      <c r="U16" s="198">
        <f t="shared" si="11"/>
        <v>0</v>
      </c>
      <c r="V16" s="199">
        <f t="shared" si="12"/>
        <v>0</v>
      </c>
      <c r="W16" s="294"/>
      <c r="X16" s="209">
        <f t="shared" ref="X16:AA16" si="30">X40+X86+X109+X132+X155</f>
        <v>240</v>
      </c>
      <c r="Y16" s="187">
        <f t="shared" si="30"/>
        <v>186</v>
      </c>
      <c r="Z16" s="187">
        <f t="shared" si="30"/>
        <v>54</v>
      </c>
      <c r="AA16" s="187">
        <f t="shared" si="30"/>
        <v>240</v>
      </c>
      <c r="AB16" s="202">
        <f t="shared" si="14"/>
        <v>0</v>
      </c>
      <c r="AC16" s="209">
        <f t="shared" ref="AC16:AF16" si="31">AC40+AC86+AC109+AC132+AC155</f>
        <v>284</v>
      </c>
      <c r="AD16" s="187">
        <f t="shared" si="31"/>
        <v>284</v>
      </c>
      <c r="AE16" s="187">
        <f t="shared" si="31"/>
        <v>0</v>
      </c>
      <c r="AF16" s="187">
        <f t="shared" si="31"/>
        <v>524</v>
      </c>
      <c r="AG16" s="202">
        <f t="shared" si="16"/>
        <v>1.1833333333333333</v>
      </c>
      <c r="AH16" s="209">
        <f t="shared" ref="AH16:AK16" si="32">AH40+AH86+AH109+AH132+AH155</f>
        <v>226</v>
      </c>
      <c r="AI16" s="187">
        <f t="shared" si="32"/>
        <v>226</v>
      </c>
      <c r="AJ16" s="187">
        <f t="shared" si="32"/>
        <v>0</v>
      </c>
      <c r="AK16" s="187">
        <f t="shared" si="32"/>
        <v>750</v>
      </c>
      <c r="AL16" s="202">
        <f t="shared" si="18"/>
        <v>0.43129770992366412</v>
      </c>
      <c r="AM16" s="209">
        <f t="shared" ref="AM16:AP16" si="33">AM40+AM86+AM109+AM132+AM155</f>
        <v>69</v>
      </c>
      <c r="AN16" s="187">
        <f t="shared" si="33"/>
        <v>69</v>
      </c>
      <c r="AO16" s="187">
        <f t="shared" si="33"/>
        <v>0</v>
      </c>
      <c r="AP16" s="187">
        <f t="shared" si="33"/>
        <v>819</v>
      </c>
      <c r="AQ16" s="202">
        <f t="shared" si="20"/>
        <v>9.1999999999999998E-2</v>
      </c>
      <c r="AR16" s="209">
        <f t="shared" ref="AR16:AU16" si="34">AR40+AR86+AR109+AR132+AR155</f>
        <v>5</v>
      </c>
      <c r="AS16" s="187">
        <f t="shared" si="34"/>
        <v>5</v>
      </c>
      <c r="AT16" s="187">
        <f t="shared" si="34"/>
        <v>0</v>
      </c>
      <c r="AU16" s="187">
        <f t="shared" si="34"/>
        <v>824</v>
      </c>
      <c r="AV16" s="202">
        <f t="shared" si="22"/>
        <v>6.105006105006105E-3</v>
      </c>
      <c r="AW16" s="198">
        <f t="shared" si="23"/>
        <v>824</v>
      </c>
      <c r="AX16" s="199">
        <f t="shared" si="24"/>
        <v>0.3612221033413221</v>
      </c>
    </row>
    <row r="17" spans="1:50" outlineLevel="1" x14ac:dyDescent="0.25">
      <c r="B17" s="52" t="s">
        <v>286</v>
      </c>
      <c r="C17" s="64" t="s">
        <v>22</v>
      </c>
      <c r="D17" s="188">
        <f t="shared" si="0"/>
        <v>0</v>
      </c>
      <c r="E17" s="189">
        <f t="shared" si="0"/>
        <v>0</v>
      </c>
      <c r="F17" s="188">
        <f t="shared" si="0"/>
        <v>0</v>
      </c>
      <c r="G17" s="186">
        <f t="shared" si="1"/>
        <v>0</v>
      </c>
      <c r="H17" s="190">
        <f t="shared" si="2"/>
        <v>0</v>
      </c>
      <c r="I17" s="188">
        <f t="shared" si="3"/>
        <v>0</v>
      </c>
      <c r="J17" s="186">
        <f t="shared" si="4"/>
        <v>0</v>
      </c>
      <c r="K17" s="190">
        <f t="shared" si="5"/>
        <v>0</v>
      </c>
      <c r="L17" s="188">
        <f t="shared" si="6"/>
        <v>0</v>
      </c>
      <c r="M17" s="186">
        <f t="shared" si="7"/>
        <v>0</v>
      </c>
      <c r="N17" s="190">
        <f t="shared" si="8"/>
        <v>0</v>
      </c>
      <c r="O17" s="188">
        <f>O41+O64+O87+O110+O133+O156</f>
        <v>0</v>
      </c>
      <c r="P17" s="150"/>
      <c r="Q17" s="153"/>
      <c r="R17" s="188">
        <f>R41+R64+R87+R110+R133+R156</f>
        <v>0</v>
      </c>
      <c r="S17" s="186">
        <f t="shared" si="9"/>
        <v>0</v>
      </c>
      <c r="T17" s="190">
        <f t="shared" si="10"/>
        <v>0</v>
      </c>
      <c r="U17" s="198">
        <f t="shared" si="11"/>
        <v>0</v>
      </c>
      <c r="V17" s="199">
        <f t="shared" si="12"/>
        <v>0</v>
      </c>
      <c r="W17" s="294"/>
      <c r="X17" s="209">
        <f t="shared" ref="X17:AA17" si="35">X41+X87+X110+X133+X156</f>
        <v>274</v>
      </c>
      <c r="Y17" s="187">
        <f t="shared" si="35"/>
        <v>4</v>
      </c>
      <c r="Z17" s="187">
        <f t="shared" si="35"/>
        <v>270</v>
      </c>
      <c r="AA17" s="187">
        <f t="shared" si="35"/>
        <v>274</v>
      </c>
      <c r="AB17" s="202">
        <f t="shared" si="14"/>
        <v>0</v>
      </c>
      <c r="AC17" s="209">
        <f t="shared" ref="AC17:AF17" si="36">AC41+AC87+AC110+AC133+AC156</f>
        <v>1157</v>
      </c>
      <c r="AD17" s="187">
        <f t="shared" si="36"/>
        <v>1157</v>
      </c>
      <c r="AE17" s="187">
        <f t="shared" si="36"/>
        <v>0</v>
      </c>
      <c r="AF17" s="187">
        <f t="shared" si="36"/>
        <v>1431</v>
      </c>
      <c r="AG17" s="202">
        <f t="shared" si="16"/>
        <v>4.2226277372262775</v>
      </c>
      <c r="AH17" s="209">
        <f t="shared" ref="AH17:AK17" si="37">AH41+AH87+AH110+AH133+AH156</f>
        <v>820</v>
      </c>
      <c r="AI17" s="187">
        <f t="shared" si="37"/>
        <v>820</v>
      </c>
      <c r="AJ17" s="187">
        <f t="shared" si="37"/>
        <v>0</v>
      </c>
      <c r="AK17" s="187">
        <f t="shared" si="37"/>
        <v>2251</v>
      </c>
      <c r="AL17" s="202">
        <f t="shared" si="18"/>
        <v>0.573025856044724</v>
      </c>
      <c r="AM17" s="209">
        <f t="shared" ref="AM17:AP17" si="38">AM41+AM87+AM110+AM133+AM156</f>
        <v>302</v>
      </c>
      <c r="AN17" s="187">
        <f t="shared" si="38"/>
        <v>302</v>
      </c>
      <c r="AO17" s="187">
        <f t="shared" si="38"/>
        <v>0</v>
      </c>
      <c r="AP17" s="187">
        <f t="shared" si="38"/>
        <v>2553</v>
      </c>
      <c r="AQ17" s="202">
        <f t="shared" si="20"/>
        <v>0.13416259440248779</v>
      </c>
      <c r="AR17" s="209">
        <f t="shared" ref="AR17:AU17" si="39">AR41+AR87+AR110+AR133+AR156</f>
        <v>161</v>
      </c>
      <c r="AS17" s="187">
        <f t="shared" si="39"/>
        <v>161</v>
      </c>
      <c r="AT17" s="187">
        <f t="shared" si="39"/>
        <v>0</v>
      </c>
      <c r="AU17" s="187">
        <f t="shared" si="39"/>
        <v>2714</v>
      </c>
      <c r="AV17" s="202">
        <f t="shared" si="22"/>
        <v>6.3063063063063057E-2</v>
      </c>
      <c r="AW17" s="198">
        <f t="shared" si="23"/>
        <v>2714</v>
      </c>
      <c r="AX17" s="199">
        <f t="shared" si="24"/>
        <v>0.77404576910617529</v>
      </c>
    </row>
    <row r="18" spans="1:50" s="55" customFormat="1" outlineLevel="1" x14ac:dyDescent="0.25">
      <c r="A18"/>
      <c r="B18" s="52" t="s">
        <v>287</v>
      </c>
      <c r="C18" s="64" t="s">
        <v>22</v>
      </c>
      <c r="D18" s="188">
        <f t="shared" si="0"/>
        <v>0</v>
      </c>
      <c r="E18" s="189">
        <f t="shared" si="0"/>
        <v>0</v>
      </c>
      <c r="F18" s="188">
        <f t="shared" si="0"/>
        <v>0</v>
      </c>
      <c r="G18" s="186">
        <f t="shared" si="1"/>
        <v>0</v>
      </c>
      <c r="H18" s="190">
        <f t="shared" si="2"/>
        <v>0</v>
      </c>
      <c r="I18" s="188">
        <f t="shared" si="3"/>
        <v>0</v>
      </c>
      <c r="J18" s="186">
        <f t="shared" si="4"/>
        <v>0</v>
      </c>
      <c r="K18" s="190">
        <f t="shared" si="5"/>
        <v>0</v>
      </c>
      <c r="L18" s="188">
        <f t="shared" si="6"/>
        <v>0</v>
      </c>
      <c r="M18" s="186">
        <f t="shared" si="7"/>
        <v>0</v>
      </c>
      <c r="N18" s="190">
        <f t="shared" si="8"/>
        <v>0</v>
      </c>
      <c r="O18" s="188">
        <f>O42+O65+O88+O111+O134+O157</f>
        <v>0</v>
      </c>
      <c r="P18" s="151"/>
      <c r="Q18" s="154"/>
      <c r="R18" s="188">
        <f>R42+R65+R88+R111+R134+R157</f>
        <v>0</v>
      </c>
      <c r="S18" s="186">
        <f t="shared" si="9"/>
        <v>0</v>
      </c>
      <c r="T18" s="190">
        <f t="shared" si="10"/>
        <v>0</v>
      </c>
      <c r="U18" s="198">
        <f t="shared" si="11"/>
        <v>0</v>
      </c>
      <c r="V18" s="199">
        <f t="shared" si="12"/>
        <v>0</v>
      </c>
      <c r="W18" s="294"/>
      <c r="X18" s="209">
        <f t="shared" ref="X18:AA18" si="40">X42+X88+X111+X134+X157</f>
        <v>0</v>
      </c>
      <c r="Y18" s="187">
        <f t="shared" si="40"/>
        <v>0</v>
      </c>
      <c r="Z18" s="187">
        <f t="shared" si="40"/>
        <v>0</v>
      </c>
      <c r="AA18" s="187">
        <f t="shared" si="40"/>
        <v>0</v>
      </c>
      <c r="AB18" s="202">
        <f t="shared" si="14"/>
        <v>0</v>
      </c>
      <c r="AC18" s="209">
        <f t="shared" ref="AC18:AF18" si="41">AC42+AC88+AC111+AC134+AC157</f>
        <v>1034</v>
      </c>
      <c r="AD18" s="187">
        <f t="shared" si="41"/>
        <v>1034</v>
      </c>
      <c r="AE18" s="187">
        <f t="shared" si="41"/>
        <v>0</v>
      </c>
      <c r="AF18" s="187">
        <f t="shared" si="41"/>
        <v>1034</v>
      </c>
      <c r="AG18" s="202">
        <f t="shared" si="16"/>
        <v>0</v>
      </c>
      <c r="AH18" s="209">
        <f t="shared" ref="AH18:AK18" si="42">AH42+AH88+AH111+AH134+AH157</f>
        <v>809</v>
      </c>
      <c r="AI18" s="187">
        <f t="shared" si="42"/>
        <v>809</v>
      </c>
      <c r="AJ18" s="187">
        <f t="shared" si="42"/>
        <v>0</v>
      </c>
      <c r="AK18" s="187">
        <f t="shared" si="42"/>
        <v>1843</v>
      </c>
      <c r="AL18" s="202">
        <f t="shared" si="18"/>
        <v>0.78239845261121854</v>
      </c>
      <c r="AM18" s="209">
        <f t="shared" ref="AM18:AP18" si="43">AM42+AM88+AM111+AM134+AM157</f>
        <v>699</v>
      </c>
      <c r="AN18" s="187">
        <f t="shared" si="43"/>
        <v>699</v>
      </c>
      <c r="AO18" s="187">
        <f t="shared" si="43"/>
        <v>0</v>
      </c>
      <c r="AP18" s="187">
        <f t="shared" si="43"/>
        <v>2542</v>
      </c>
      <c r="AQ18" s="202">
        <f t="shared" si="20"/>
        <v>0.37927292457948997</v>
      </c>
      <c r="AR18" s="209">
        <f t="shared" ref="AR18:AU18" si="44">AR42+AR88+AR111+AR134+AR157</f>
        <v>357</v>
      </c>
      <c r="AS18" s="187">
        <f t="shared" si="44"/>
        <v>357</v>
      </c>
      <c r="AT18" s="187">
        <f t="shared" si="44"/>
        <v>0</v>
      </c>
      <c r="AU18" s="187">
        <f t="shared" si="44"/>
        <v>2899</v>
      </c>
      <c r="AV18" s="202">
        <f t="shared" si="22"/>
        <v>0.14044059795436664</v>
      </c>
      <c r="AW18" s="198">
        <f t="shared" si="23"/>
        <v>2899</v>
      </c>
      <c r="AX18" s="199">
        <f t="shared" si="24"/>
        <v>0</v>
      </c>
    </row>
    <row r="19" spans="1:50" outlineLevel="1" x14ac:dyDescent="0.25">
      <c r="B19" s="52" t="s">
        <v>288</v>
      </c>
      <c r="C19" s="64" t="s">
        <v>22</v>
      </c>
      <c r="D19" s="188">
        <f t="shared" si="0"/>
        <v>0</v>
      </c>
      <c r="E19" s="189">
        <f t="shared" si="0"/>
        <v>0</v>
      </c>
      <c r="F19" s="188">
        <f t="shared" si="0"/>
        <v>0</v>
      </c>
      <c r="G19" s="186">
        <f t="shared" si="1"/>
        <v>0</v>
      </c>
      <c r="H19" s="190">
        <f t="shared" si="2"/>
        <v>0</v>
      </c>
      <c r="I19" s="188">
        <f t="shared" si="3"/>
        <v>0</v>
      </c>
      <c r="J19" s="186">
        <f t="shared" si="4"/>
        <v>0</v>
      </c>
      <c r="K19" s="190">
        <f t="shared" si="5"/>
        <v>0</v>
      </c>
      <c r="L19" s="188">
        <f t="shared" si="6"/>
        <v>0</v>
      </c>
      <c r="M19" s="186">
        <f t="shared" si="7"/>
        <v>0</v>
      </c>
      <c r="N19" s="190">
        <f t="shared" si="8"/>
        <v>0</v>
      </c>
      <c r="O19" s="188">
        <f>O43+O66+O89+O112+O135+O158</f>
        <v>0</v>
      </c>
      <c r="P19" s="150"/>
      <c r="Q19" s="153"/>
      <c r="R19" s="188">
        <f>R43+R66+R89+R112+R135+R158</f>
        <v>0</v>
      </c>
      <c r="S19" s="186">
        <f t="shared" si="9"/>
        <v>0</v>
      </c>
      <c r="T19" s="190">
        <f t="shared" si="10"/>
        <v>0</v>
      </c>
      <c r="U19" s="198">
        <f t="shared" si="11"/>
        <v>0</v>
      </c>
      <c r="V19" s="199">
        <f t="shared" si="12"/>
        <v>0</v>
      </c>
      <c r="W19" s="294"/>
      <c r="X19" s="209">
        <f t="shared" ref="X19:AA19" si="45">X43+X89+X112+X135+X158</f>
        <v>283</v>
      </c>
      <c r="Y19" s="187">
        <f t="shared" si="45"/>
        <v>16</v>
      </c>
      <c r="Z19" s="187">
        <f t="shared" si="45"/>
        <v>267</v>
      </c>
      <c r="AA19" s="187">
        <f t="shared" si="45"/>
        <v>283</v>
      </c>
      <c r="AB19" s="202">
        <f t="shared" si="14"/>
        <v>0</v>
      </c>
      <c r="AC19" s="209">
        <f t="shared" ref="AC19:AF19" si="46">AC43+AC89+AC112+AC135+AC158</f>
        <v>370</v>
      </c>
      <c r="AD19" s="187">
        <f t="shared" si="46"/>
        <v>370</v>
      </c>
      <c r="AE19" s="187">
        <f t="shared" si="46"/>
        <v>0</v>
      </c>
      <c r="AF19" s="187">
        <f t="shared" si="46"/>
        <v>653</v>
      </c>
      <c r="AG19" s="202">
        <f t="shared" si="16"/>
        <v>1.3074204946996466</v>
      </c>
      <c r="AH19" s="209">
        <f t="shared" ref="AH19:AK19" si="47">AH43+AH89+AH112+AH135+AH158</f>
        <v>231</v>
      </c>
      <c r="AI19" s="187">
        <f t="shared" si="47"/>
        <v>231</v>
      </c>
      <c r="AJ19" s="187">
        <f t="shared" si="47"/>
        <v>0</v>
      </c>
      <c r="AK19" s="187">
        <f t="shared" si="47"/>
        <v>884</v>
      </c>
      <c r="AL19" s="202">
        <f t="shared" si="18"/>
        <v>0.35375191424196017</v>
      </c>
      <c r="AM19" s="209">
        <f t="shared" ref="AM19:AP19" si="48">AM43+AM89+AM112+AM135+AM158</f>
        <v>54</v>
      </c>
      <c r="AN19" s="187">
        <f t="shared" si="48"/>
        <v>54</v>
      </c>
      <c r="AO19" s="187">
        <f t="shared" si="48"/>
        <v>0</v>
      </c>
      <c r="AP19" s="187">
        <f t="shared" si="48"/>
        <v>938</v>
      </c>
      <c r="AQ19" s="202">
        <f t="shared" si="20"/>
        <v>6.1085972850678731E-2</v>
      </c>
      <c r="AR19" s="209">
        <f t="shared" ref="AR19:AU19" si="49">AR43+AR89+AR112+AR135+AR158</f>
        <v>28</v>
      </c>
      <c r="AS19" s="187">
        <f t="shared" si="49"/>
        <v>28</v>
      </c>
      <c r="AT19" s="187">
        <f t="shared" si="49"/>
        <v>0</v>
      </c>
      <c r="AU19" s="187">
        <f t="shared" si="49"/>
        <v>966</v>
      </c>
      <c r="AV19" s="202">
        <f t="shared" si="22"/>
        <v>2.9850746268656716E-2</v>
      </c>
      <c r="AW19" s="198">
        <f t="shared" si="23"/>
        <v>966</v>
      </c>
      <c r="AX19" s="199">
        <f t="shared" si="24"/>
        <v>0.35924477654607356</v>
      </c>
    </row>
    <row r="20" spans="1:50" outlineLevel="1" x14ac:dyDescent="0.25">
      <c r="B20" s="52" t="s">
        <v>289</v>
      </c>
      <c r="C20" s="64" t="s">
        <v>22</v>
      </c>
      <c r="D20" s="188">
        <f>D46+D67+D90+D113+D136+D159</f>
        <v>0</v>
      </c>
      <c r="E20" s="189">
        <f>E46+E67+E90+E113+E136+E159</f>
        <v>0</v>
      </c>
      <c r="F20" s="188">
        <f>F46+F67+F90+F113+F136+F159</f>
        <v>0</v>
      </c>
      <c r="G20" s="186">
        <f t="shared" si="1"/>
        <v>0</v>
      </c>
      <c r="H20" s="190">
        <f t="shared" si="2"/>
        <v>0</v>
      </c>
      <c r="I20" s="188">
        <f>I46+I67+I90+I113+I136+I159</f>
        <v>0</v>
      </c>
      <c r="J20" s="186">
        <f t="shared" si="4"/>
        <v>0</v>
      </c>
      <c r="K20" s="190">
        <f t="shared" si="5"/>
        <v>0</v>
      </c>
      <c r="L20" s="188">
        <f>L46+L67+L90+L113+L136+L159</f>
        <v>0</v>
      </c>
      <c r="M20" s="186">
        <f t="shared" si="7"/>
        <v>0</v>
      </c>
      <c r="N20" s="190">
        <f t="shared" si="8"/>
        <v>0</v>
      </c>
      <c r="O20" s="188">
        <f>O46+O67+O90+O113+O136+O159</f>
        <v>37</v>
      </c>
      <c r="P20" s="155"/>
      <c r="Q20" s="156"/>
      <c r="R20" s="188">
        <f>R46+R67+R90+R113+R136+R159</f>
        <v>1158</v>
      </c>
      <c r="S20" s="186">
        <f t="shared" si="9"/>
        <v>1158</v>
      </c>
      <c r="T20" s="190">
        <f t="shared" si="10"/>
        <v>0</v>
      </c>
      <c r="U20" s="198">
        <f t="shared" si="11"/>
        <v>1158</v>
      </c>
      <c r="V20" s="199">
        <f t="shared" si="12"/>
        <v>0</v>
      </c>
      <c r="W20" s="294"/>
      <c r="X20" s="209">
        <f t="shared" ref="X20:AA20" si="50">X44+X90+X113+X136+X159</f>
        <v>557</v>
      </c>
      <c r="Y20" s="187">
        <f t="shared" si="50"/>
        <v>23</v>
      </c>
      <c r="Z20" s="187">
        <f t="shared" si="50"/>
        <v>534</v>
      </c>
      <c r="AA20" s="187">
        <f t="shared" si="50"/>
        <v>557</v>
      </c>
      <c r="AB20" s="202">
        <f t="shared" si="14"/>
        <v>-0.51899827288428324</v>
      </c>
      <c r="AC20" s="209">
        <f t="shared" ref="AC20:AF20" si="51">AC44+AC90+AC113+AC136+AC159</f>
        <v>1681</v>
      </c>
      <c r="AD20" s="187">
        <f t="shared" si="51"/>
        <v>1681</v>
      </c>
      <c r="AE20" s="187">
        <f t="shared" si="51"/>
        <v>0</v>
      </c>
      <c r="AF20" s="187">
        <f t="shared" si="51"/>
        <v>2238</v>
      </c>
      <c r="AG20" s="202">
        <f t="shared" si="16"/>
        <v>3.0179533213644523</v>
      </c>
      <c r="AH20" s="209">
        <f t="shared" ref="AH20:AK20" si="52">AH44+AH90+AH113+AH136+AH159</f>
        <v>1102</v>
      </c>
      <c r="AI20" s="187">
        <f t="shared" si="52"/>
        <v>1102</v>
      </c>
      <c r="AJ20" s="187">
        <f t="shared" si="52"/>
        <v>0</v>
      </c>
      <c r="AK20" s="187">
        <f t="shared" si="52"/>
        <v>3340</v>
      </c>
      <c r="AL20" s="202">
        <f t="shared" si="18"/>
        <v>0.49240393208221628</v>
      </c>
      <c r="AM20" s="209">
        <f t="shared" ref="AM20:AP20" si="53">AM44+AM90+AM113+AM136+AM159</f>
        <v>1073</v>
      </c>
      <c r="AN20" s="187">
        <f t="shared" si="53"/>
        <v>1073</v>
      </c>
      <c r="AO20" s="187">
        <f t="shared" si="53"/>
        <v>0</v>
      </c>
      <c r="AP20" s="187">
        <f t="shared" si="53"/>
        <v>4413</v>
      </c>
      <c r="AQ20" s="202">
        <f t="shared" si="20"/>
        <v>0.32125748502994012</v>
      </c>
      <c r="AR20" s="209">
        <f t="shared" ref="AR20:AU20" si="54">AR44+AR90+AR113+AR136+AR159</f>
        <v>547</v>
      </c>
      <c r="AS20" s="187">
        <f t="shared" si="54"/>
        <v>547</v>
      </c>
      <c r="AT20" s="187">
        <f t="shared" si="54"/>
        <v>0</v>
      </c>
      <c r="AU20" s="187">
        <f t="shared" si="54"/>
        <v>4960</v>
      </c>
      <c r="AV20" s="202">
        <f t="shared" si="22"/>
        <v>0.12395196011783367</v>
      </c>
      <c r="AW20" s="198">
        <f t="shared" si="23"/>
        <v>4960</v>
      </c>
      <c r="AX20" s="199">
        <f t="shared" si="24"/>
        <v>0.72745451256680838</v>
      </c>
    </row>
    <row r="21" spans="1:50" outlineLevel="1" x14ac:dyDescent="0.25">
      <c r="B21" s="52" t="s">
        <v>290</v>
      </c>
      <c r="C21" s="64" t="s">
        <v>22</v>
      </c>
      <c r="D21" s="188">
        <f t="shared" ref="D21:F22" si="55">D53+D76+D99+D122+D145+D168</f>
        <v>0</v>
      </c>
      <c r="E21" s="189">
        <f t="shared" si="55"/>
        <v>0</v>
      </c>
      <c r="F21" s="188">
        <f t="shared" si="55"/>
        <v>0</v>
      </c>
      <c r="G21" s="186">
        <f t="shared" si="1"/>
        <v>0</v>
      </c>
      <c r="H21" s="190">
        <f t="shared" si="2"/>
        <v>0</v>
      </c>
      <c r="I21" s="188">
        <f>I53+I76+I99+I122+I145+I168</f>
        <v>0</v>
      </c>
      <c r="J21" s="186">
        <f t="shared" si="4"/>
        <v>0</v>
      </c>
      <c r="K21" s="190">
        <f t="shared" si="5"/>
        <v>0</v>
      </c>
      <c r="L21" s="188">
        <f>L53+L76+L99+L122+L145+L168</f>
        <v>0</v>
      </c>
      <c r="M21" s="186">
        <f t="shared" si="7"/>
        <v>0</v>
      </c>
      <c r="N21" s="190">
        <f t="shared" si="8"/>
        <v>0</v>
      </c>
      <c r="O21" s="188">
        <f>O53+O76+O99+O122+O145+O168</f>
        <v>0</v>
      </c>
      <c r="P21" s="155"/>
      <c r="Q21" s="156"/>
      <c r="R21" s="188">
        <f>R53+R76+R99+R122+R145+R168</f>
        <v>0</v>
      </c>
      <c r="S21" s="186">
        <f t="shared" si="9"/>
        <v>0</v>
      </c>
      <c r="T21" s="190">
        <f t="shared" si="10"/>
        <v>0</v>
      </c>
      <c r="U21" s="198">
        <f t="shared" si="11"/>
        <v>0</v>
      </c>
      <c r="V21" s="199">
        <f t="shared" si="12"/>
        <v>0</v>
      </c>
      <c r="W21" s="294"/>
      <c r="X21" s="209">
        <f t="shared" ref="X21:AA21" si="56">X45+X91+X114+X137+X160</f>
        <v>530</v>
      </c>
      <c r="Y21" s="187">
        <f t="shared" si="56"/>
        <v>54</v>
      </c>
      <c r="Z21" s="187">
        <f t="shared" si="56"/>
        <v>476</v>
      </c>
      <c r="AA21" s="187">
        <f t="shared" si="56"/>
        <v>530</v>
      </c>
      <c r="AB21" s="202">
        <f t="shared" si="14"/>
        <v>0</v>
      </c>
      <c r="AC21" s="209">
        <f t="shared" ref="AC21:AF21" si="57">AC45+AC91+AC114+AC137+AC160</f>
        <v>1515</v>
      </c>
      <c r="AD21" s="187">
        <f t="shared" si="57"/>
        <v>1515</v>
      </c>
      <c r="AE21" s="187">
        <f t="shared" si="57"/>
        <v>0</v>
      </c>
      <c r="AF21" s="187">
        <f t="shared" si="57"/>
        <v>2045</v>
      </c>
      <c r="AG21" s="202">
        <f t="shared" si="16"/>
        <v>2.858490566037736</v>
      </c>
      <c r="AH21" s="209">
        <f t="shared" ref="AH21:AK21" si="58">AH45+AH91+AH114+AH137+AH160</f>
        <v>1275</v>
      </c>
      <c r="AI21" s="187">
        <f t="shared" si="58"/>
        <v>1275</v>
      </c>
      <c r="AJ21" s="187">
        <f t="shared" si="58"/>
        <v>0</v>
      </c>
      <c r="AK21" s="187">
        <f t="shared" si="58"/>
        <v>3320</v>
      </c>
      <c r="AL21" s="202">
        <f t="shared" si="18"/>
        <v>0.62347188264058684</v>
      </c>
      <c r="AM21" s="209">
        <f t="shared" ref="AM21:AP21" si="59">AM45+AM91+AM114+AM137+AM160</f>
        <v>1075</v>
      </c>
      <c r="AN21" s="187">
        <f t="shared" si="59"/>
        <v>1075</v>
      </c>
      <c r="AO21" s="187">
        <f t="shared" si="59"/>
        <v>0</v>
      </c>
      <c r="AP21" s="187">
        <f t="shared" si="59"/>
        <v>4395</v>
      </c>
      <c r="AQ21" s="202">
        <f t="shared" si="20"/>
        <v>0.32379518072289154</v>
      </c>
      <c r="AR21" s="209">
        <f t="shared" ref="AR21:AU21" si="60">AR45+AR91+AR114+AR137+AR160</f>
        <v>547</v>
      </c>
      <c r="AS21" s="187">
        <f t="shared" si="60"/>
        <v>547</v>
      </c>
      <c r="AT21" s="187">
        <f t="shared" si="60"/>
        <v>0</v>
      </c>
      <c r="AU21" s="187">
        <f t="shared" si="60"/>
        <v>4942</v>
      </c>
      <c r="AV21" s="202">
        <f t="shared" si="22"/>
        <v>0.12445961319681456</v>
      </c>
      <c r="AW21" s="198">
        <f t="shared" si="23"/>
        <v>4942</v>
      </c>
      <c r="AX21" s="199">
        <f t="shared" si="24"/>
        <v>0.74745788553864223</v>
      </c>
    </row>
    <row r="22" spans="1:50" ht="15" customHeight="1" outlineLevel="1" x14ac:dyDescent="0.25">
      <c r="B22" s="52" t="s">
        <v>291</v>
      </c>
      <c r="C22" s="64" t="s">
        <v>22</v>
      </c>
      <c r="D22" s="188">
        <f t="shared" si="55"/>
        <v>0</v>
      </c>
      <c r="E22" s="189">
        <f t="shared" si="55"/>
        <v>0</v>
      </c>
      <c r="F22" s="188">
        <f t="shared" si="55"/>
        <v>0</v>
      </c>
      <c r="G22" s="186">
        <f t="shared" si="1"/>
        <v>0</v>
      </c>
      <c r="H22" s="190">
        <f t="shared" si="2"/>
        <v>0</v>
      </c>
      <c r="I22" s="188">
        <f>I54+I77+I100+I123+I146+I169</f>
        <v>0</v>
      </c>
      <c r="J22" s="186">
        <f t="shared" si="4"/>
        <v>0</v>
      </c>
      <c r="K22" s="190">
        <f t="shared" si="5"/>
        <v>0</v>
      </c>
      <c r="L22" s="188">
        <f>L54+L77+L100+L123+L146+L169</f>
        <v>0</v>
      </c>
      <c r="M22" s="186">
        <f t="shared" si="7"/>
        <v>0</v>
      </c>
      <c r="N22" s="190">
        <f t="shared" si="8"/>
        <v>0</v>
      </c>
      <c r="O22" s="188">
        <f>O54+O77+O100+O123+O146+O169</f>
        <v>130</v>
      </c>
      <c r="P22" s="155"/>
      <c r="Q22" s="156"/>
      <c r="R22" s="188">
        <f>R54+R77+R100+R123+R146+R169</f>
        <v>2427</v>
      </c>
      <c r="S22" s="186">
        <f t="shared" si="9"/>
        <v>2427</v>
      </c>
      <c r="T22" s="190">
        <f t="shared" si="10"/>
        <v>0</v>
      </c>
      <c r="U22" s="198">
        <f t="shared" si="11"/>
        <v>2427</v>
      </c>
      <c r="V22" s="199">
        <f t="shared" si="12"/>
        <v>0</v>
      </c>
      <c r="W22" s="295"/>
      <c r="X22" s="209">
        <f t="shared" ref="X22:AA22" si="61">X46+X92+X115+X138+X161</f>
        <v>260</v>
      </c>
      <c r="Y22" s="187">
        <f t="shared" si="61"/>
        <v>148</v>
      </c>
      <c r="Z22" s="187">
        <f t="shared" si="61"/>
        <v>112</v>
      </c>
      <c r="AA22" s="187">
        <f t="shared" si="61"/>
        <v>1473</v>
      </c>
      <c r="AB22" s="202">
        <f t="shared" si="14"/>
        <v>-0.39307787391841781</v>
      </c>
      <c r="AC22" s="209">
        <f t="shared" ref="AC22:AF22" si="62">AC46+AC92+AC115+AC138+AC161</f>
        <v>145</v>
      </c>
      <c r="AD22" s="187">
        <f t="shared" si="62"/>
        <v>145</v>
      </c>
      <c r="AE22" s="187">
        <f t="shared" si="62"/>
        <v>0</v>
      </c>
      <c r="AF22" s="187">
        <f t="shared" si="62"/>
        <v>1618</v>
      </c>
      <c r="AG22" s="202">
        <f t="shared" si="16"/>
        <v>9.8438560760353025E-2</v>
      </c>
      <c r="AH22" s="209">
        <f t="shared" ref="AH22:AK22" si="63">AH46+AH92+AH115+AH138+AH161</f>
        <v>34</v>
      </c>
      <c r="AI22" s="187">
        <f t="shared" si="63"/>
        <v>34</v>
      </c>
      <c r="AJ22" s="187">
        <f t="shared" si="63"/>
        <v>0</v>
      </c>
      <c r="AK22" s="187">
        <f t="shared" si="63"/>
        <v>1652</v>
      </c>
      <c r="AL22" s="202">
        <f t="shared" si="18"/>
        <v>2.1013597033374538E-2</v>
      </c>
      <c r="AM22" s="209">
        <f t="shared" ref="AM22:AP22" si="64">AM46+AM92+AM115+AM138+AM161</f>
        <v>30</v>
      </c>
      <c r="AN22" s="187">
        <f t="shared" si="64"/>
        <v>30</v>
      </c>
      <c r="AO22" s="187">
        <f t="shared" si="64"/>
        <v>0</v>
      </c>
      <c r="AP22" s="187">
        <f t="shared" si="64"/>
        <v>1682</v>
      </c>
      <c r="AQ22" s="202">
        <f t="shared" si="20"/>
        <v>1.8159806295399514E-2</v>
      </c>
      <c r="AR22" s="209">
        <f t="shared" ref="AR22:AU22" si="65">AR46+AR92+AR115+AR138+AR161</f>
        <v>22</v>
      </c>
      <c r="AS22" s="187">
        <f t="shared" si="65"/>
        <v>22</v>
      </c>
      <c r="AT22" s="187">
        <f t="shared" si="65"/>
        <v>0</v>
      </c>
      <c r="AU22" s="187">
        <f t="shared" si="65"/>
        <v>1704</v>
      </c>
      <c r="AV22" s="202">
        <f t="shared" si="22"/>
        <v>1.3079667063020214E-2</v>
      </c>
      <c r="AW22" s="198">
        <f t="shared" si="23"/>
        <v>491</v>
      </c>
      <c r="AX22" s="199">
        <f t="shared" si="24"/>
        <v>3.7090631003407148E-2</v>
      </c>
    </row>
    <row r="23" spans="1:50" ht="15" customHeight="1" outlineLevel="1" x14ac:dyDescent="0.25">
      <c r="B23" s="52" t="s">
        <v>307</v>
      </c>
      <c r="C23" s="64"/>
      <c r="D23" s="188"/>
      <c r="E23" s="189"/>
      <c r="F23" s="188"/>
      <c r="G23" s="186"/>
      <c r="H23" s="190">
        <f t="shared" si="2"/>
        <v>0</v>
      </c>
      <c r="I23" s="188"/>
      <c r="J23" s="186"/>
      <c r="K23" s="190">
        <f t="shared" si="5"/>
        <v>0</v>
      </c>
      <c r="L23" s="188"/>
      <c r="M23" s="186"/>
      <c r="N23" s="190">
        <f t="shared" si="8"/>
        <v>0</v>
      </c>
      <c r="O23" s="188"/>
      <c r="P23" s="155"/>
      <c r="Q23" s="156"/>
      <c r="R23" s="188"/>
      <c r="S23" s="186"/>
      <c r="T23" s="190">
        <f t="shared" si="10"/>
        <v>0</v>
      </c>
      <c r="U23" s="198">
        <f t="shared" si="11"/>
        <v>0</v>
      </c>
      <c r="V23" s="199">
        <f t="shared" si="12"/>
        <v>0</v>
      </c>
      <c r="W23" s="295"/>
      <c r="X23" s="209">
        <f t="shared" ref="X23:AA23" si="66">X47+X93+X116+X139+X162</f>
        <v>65</v>
      </c>
      <c r="Y23" s="187">
        <f t="shared" si="66"/>
        <v>4</v>
      </c>
      <c r="Z23" s="187">
        <f t="shared" si="66"/>
        <v>61</v>
      </c>
      <c r="AA23" s="187">
        <f t="shared" si="66"/>
        <v>65</v>
      </c>
      <c r="AB23" s="202">
        <f t="shared" ref="AB23:AB27" si="67">IFERROR((AA23-S23)/S23,0)</f>
        <v>0</v>
      </c>
      <c r="AC23" s="209">
        <f t="shared" ref="AC23:AF23" si="68">AC47+AC93+AC116+AC139+AC162</f>
        <v>94</v>
      </c>
      <c r="AD23" s="187">
        <f t="shared" si="68"/>
        <v>94</v>
      </c>
      <c r="AE23" s="187">
        <f t="shared" si="68"/>
        <v>0</v>
      </c>
      <c r="AF23" s="187">
        <f t="shared" si="68"/>
        <v>159</v>
      </c>
      <c r="AG23" s="202">
        <f t="shared" ref="AG23:AG27" si="69">IFERROR((AF23-AA23)/AA23,0)</f>
        <v>1.4461538461538461</v>
      </c>
      <c r="AH23" s="209">
        <f t="shared" ref="AH23:AK23" si="70">AH47+AH93+AH116+AH139+AH162</f>
        <v>101</v>
      </c>
      <c r="AI23" s="187">
        <f t="shared" si="70"/>
        <v>101</v>
      </c>
      <c r="AJ23" s="187">
        <f t="shared" si="70"/>
        <v>0</v>
      </c>
      <c r="AK23" s="187">
        <f t="shared" si="70"/>
        <v>260</v>
      </c>
      <c r="AL23" s="202">
        <f t="shared" ref="AL23:AL27" si="71">IFERROR((AK23-AF23)/AF23,0)</f>
        <v>0.63522012578616349</v>
      </c>
      <c r="AM23" s="209">
        <f t="shared" ref="AM23:AP23" si="72">AM47+AM93+AM116+AM139+AM162</f>
        <v>60</v>
      </c>
      <c r="AN23" s="187">
        <f t="shared" si="72"/>
        <v>60</v>
      </c>
      <c r="AO23" s="187">
        <f t="shared" si="72"/>
        <v>0</v>
      </c>
      <c r="AP23" s="187">
        <f t="shared" si="72"/>
        <v>320</v>
      </c>
      <c r="AQ23" s="202">
        <f t="shared" ref="AQ23:AQ27" si="73">IFERROR((AP23-AK23)/AK23,0)</f>
        <v>0.23076923076923078</v>
      </c>
      <c r="AR23" s="209">
        <f t="shared" ref="AR23:AU23" si="74">AR47+AR93+AR116+AR139+AR162</f>
        <v>49</v>
      </c>
      <c r="AS23" s="187">
        <f t="shared" si="74"/>
        <v>49</v>
      </c>
      <c r="AT23" s="187">
        <f t="shared" si="74"/>
        <v>0</v>
      </c>
      <c r="AU23" s="187">
        <f t="shared" si="74"/>
        <v>369</v>
      </c>
      <c r="AV23" s="202">
        <f t="shared" ref="AV23:AV27" si="75">IFERROR((AU23-AP23)/AP23,0)</f>
        <v>0.15312500000000001</v>
      </c>
      <c r="AW23" s="198">
        <f t="shared" ref="AW23:AW27" si="76">X23+AC23+AH23+AM23+AR23</f>
        <v>369</v>
      </c>
      <c r="AX23" s="199">
        <f t="shared" si="24"/>
        <v>0.54357683514463684</v>
      </c>
    </row>
    <row r="24" spans="1:50" ht="15" customHeight="1" outlineLevel="1" x14ac:dyDescent="0.25">
      <c r="B24" s="52" t="s">
        <v>304</v>
      </c>
      <c r="C24" s="64"/>
      <c r="D24" s="188"/>
      <c r="E24" s="189"/>
      <c r="F24" s="188"/>
      <c r="G24" s="186"/>
      <c r="H24" s="190">
        <f t="shared" si="2"/>
        <v>0</v>
      </c>
      <c r="I24" s="188"/>
      <c r="J24" s="186"/>
      <c r="K24" s="190">
        <f t="shared" si="5"/>
        <v>0</v>
      </c>
      <c r="L24" s="188"/>
      <c r="M24" s="186"/>
      <c r="N24" s="190">
        <f t="shared" si="8"/>
        <v>0</v>
      </c>
      <c r="O24" s="188"/>
      <c r="P24" s="155"/>
      <c r="Q24" s="156"/>
      <c r="R24" s="188"/>
      <c r="S24" s="186"/>
      <c r="T24" s="190">
        <f t="shared" si="10"/>
        <v>0</v>
      </c>
      <c r="U24" s="198">
        <f t="shared" si="11"/>
        <v>0</v>
      </c>
      <c r="V24" s="199">
        <f t="shared" si="12"/>
        <v>0</v>
      </c>
      <c r="W24" s="295"/>
      <c r="X24" s="209">
        <f t="shared" ref="X24:AA24" si="77">X48+X94+X117+X140+X163</f>
        <v>71</v>
      </c>
      <c r="Y24" s="187">
        <f t="shared" si="77"/>
        <v>6</v>
      </c>
      <c r="Z24" s="187">
        <f t="shared" si="77"/>
        <v>65</v>
      </c>
      <c r="AA24" s="187">
        <f t="shared" si="77"/>
        <v>71</v>
      </c>
      <c r="AB24" s="202">
        <f t="shared" si="67"/>
        <v>0</v>
      </c>
      <c r="AC24" s="209">
        <f t="shared" ref="AC24:AF24" si="78">AC48+AC94+AC117+AC140+AC163</f>
        <v>94</v>
      </c>
      <c r="AD24" s="187">
        <f t="shared" si="78"/>
        <v>94</v>
      </c>
      <c r="AE24" s="187">
        <f t="shared" si="78"/>
        <v>0</v>
      </c>
      <c r="AF24" s="187">
        <f t="shared" si="78"/>
        <v>165</v>
      </c>
      <c r="AG24" s="202">
        <f t="shared" si="69"/>
        <v>1.323943661971831</v>
      </c>
      <c r="AH24" s="209">
        <f t="shared" ref="AH24:AK24" si="79">AH48+AH94+AH117+AH140+AH163</f>
        <v>150</v>
      </c>
      <c r="AI24" s="187">
        <f t="shared" si="79"/>
        <v>150</v>
      </c>
      <c r="AJ24" s="187">
        <f t="shared" si="79"/>
        <v>0</v>
      </c>
      <c r="AK24" s="187">
        <f t="shared" si="79"/>
        <v>315</v>
      </c>
      <c r="AL24" s="202">
        <f t="shared" si="71"/>
        <v>0.90909090909090906</v>
      </c>
      <c r="AM24" s="209">
        <f t="shared" ref="AM24:AP24" si="80">AM48+AM94+AM117+AM140+AM163</f>
        <v>70</v>
      </c>
      <c r="AN24" s="187">
        <f t="shared" si="80"/>
        <v>70</v>
      </c>
      <c r="AO24" s="187">
        <f t="shared" si="80"/>
        <v>0</v>
      </c>
      <c r="AP24" s="187">
        <f t="shared" si="80"/>
        <v>385</v>
      </c>
      <c r="AQ24" s="202">
        <f t="shared" si="73"/>
        <v>0.22222222222222221</v>
      </c>
      <c r="AR24" s="209">
        <f t="shared" ref="AR24:AU24" si="81">AR48+AR94+AR117+AR140+AR163</f>
        <v>49</v>
      </c>
      <c r="AS24" s="187">
        <f t="shared" si="81"/>
        <v>49</v>
      </c>
      <c r="AT24" s="187">
        <f t="shared" si="81"/>
        <v>0</v>
      </c>
      <c r="AU24" s="187">
        <f t="shared" si="81"/>
        <v>434</v>
      </c>
      <c r="AV24" s="202">
        <f t="shared" si="75"/>
        <v>0.12727272727272726</v>
      </c>
      <c r="AW24" s="198">
        <f t="shared" si="76"/>
        <v>434</v>
      </c>
      <c r="AX24" s="199">
        <f t="shared" si="24"/>
        <v>0.57238120945930504</v>
      </c>
    </row>
    <row r="25" spans="1:50" ht="15" customHeight="1" outlineLevel="1" x14ac:dyDescent="0.25">
      <c r="B25" s="52" t="s">
        <v>305</v>
      </c>
      <c r="C25" s="64"/>
      <c r="D25" s="188"/>
      <c r="E25" s="189"/>
      <c r="F25" s="188"/>
      <c r="G25" s="186"/>
      <c r="H25" s="190">
        <f t="shared" si="2"/>
        <v>0</v>
      </c>
      <c r="I25" s="188"/>
      <c r="J25" s="186"/>
      <c r="K25" s="190">
        <f t="shared" si="5"/>
        <v>0</v>
      </c>
      <c r="L25" s="188"/>
      <c r="M25" s="186"/>
      <c r="N25" s="190">
        <f t="shared" si="8"/>
        <v>0</v>
      </c>
      <c r="O25" s="188"/>
      <c r="P25" s="155"/>
      <c r="Q25" s="156"/>
      <c r="R25" s="188"/>
      <c r="S25" s="186"/>
      <c r="T25" s="190">
        <f t="shared" si="10"/>
        <v>0</v>
      </c>
      <c r="U25" s="198">
        <f t="shared" si="11"/>
        <v>0</v>
      </c>
      <c r="V25" s="199">
        <f t="shared" si="12"/>
        <v>0</v>
      </c>
      <c r="W25" s="295"/>
      <c r="X25" s="209">
        <f t="shared" ref="X25:AA25" si="82">X49+X95+X118+X141+X164</f>
        <v>67</v>
      </c>
      <c r="Y25" s="187">
        <f t="shared" si="82"/>
        <v>5</v>
      </c>
      <c r="Z25" s="187">
        <f t="shared" si="82"/>
        <v>62</v>
      </c>
      <c r="AA25" s="187">
        <f t="shared" si="82"/>
        <v>67</v>
      </c>
      <c r="AB25" s="202">
        <f t="shared" si="67"/>
        <v>0</v>
      </c>
      <c r="AC25" s="209">
        <f t="shared" ref="AC25:AF25" si="83">AC49+AC95+AC118+AC141+AC164</f>
        <v>94</v>
      </c>
      <c r="AD25" s="187">
        <f t="shared" si="83"/>
        <v>94</v>
      </c>
      <c r="AE25" s="187">
        <f t="shared" si="83"/>
        <v>0</v>
      </c>
      <c r="AF25" s="187">
        <f t="shared" si="83"/>
        <v>161</v>
      </c>
      <c r="AG25" s="202">
        <f t="shared" si="69"/>
        <v>1.4029850746268657</v>
      </c>
      <c r="AH25" s="209">
        <f t="shared" ref="AH25:AK25" si="84">AH49+AH95+AH118+AH141+AH164</f>
        <v>130</v>
      </c>
      <c r="AI25" s="187">
        <f t="shared" si="84"/>
        <v>130</v>
      </c>
      <c r="AJ25" s="187">
        <f t="shared" si="84"/>
        <v>0</v>
      </c>
      <c r="AK25" s="187">
        <f t="shared" si="84"/>
        <v>291</v>
      </c>
      <c r="AL25" s="202">
        <f t="shared" si="71"/>
        <v>0.80745341614906829</v>
      </c>
      <c r="AM25" s="209">
        <f t="shared" ref="AM25:AP25" si="85">AM49+AM95+AM118+AM141+AM164</f>
        <v>60</v>
      </c>
      <c r="AN25" s="187">
        <f t="shared" si="85"/>
        <v>60</v>
      </c>
      <c r="AO25" s="187">
        <f t="shared" si="85"/>
        <v>0</v>
      </c>
      <c r="AP25" s="187">
        <f t="shared" si="85"/>
        <v>351</v>
      </c>
      <c r="AQ25" s="202">
        <f t="shared" si="73"/>
        <v>0.20618556701030927</v>
      </c>
      <c r="AR25" s="209">
        <f t="shared" ref="AR25:AU25" si="86">AR49+AR95+AR118+AR141+AR164</f>
        <v>49</v>
      </c>
      <c r="AS25" s="187">
        <f t="shared" si="86"/>
        <v>49</v>
      </c>
      <c r="AT25" s="187">
        <f t="shared" si="86"/>
        <v>0</v>
      </c>
      <c r="AU25" s="187">
        <f t="shared" si="86"/>
        <v>400</v>
      </c>
      <c r="AV25" s="202">
        <f t="shared" si="75"/>
        <v>0.1396011396011396</v>
      </c>
      <c r="AW25" s="198">
        <f t="shared" si="76"/>
        <v>400</v>
      </c>
      <c r="AX25" s="199">
        <f t="shared" si="24"/>
        <v>0.563134315126536</v>
      </c>
    </row>
    <row r="26" spans="1:50" ht="15" customHeight="1" outlineLevel="1" x14ac:dyDescent="0.25">
      <c r="B26" s="52" t="s">
        <v>306</v>
      </c>
      <c r="C26" s="64"/>
      <c r="D26" s="188"/>
      <c r="E26" s="189"/>
      <c r="F26" s="188"/>
      <c r="G26" s="186"/>
      <c r="H26" s="190">
        <f t="shared" si="2"/>
        <v>0</v>
      </c>
      <c r="I26" s="188"/>
      <c r="J26" s="186"/>
      <c r="K26" s="190">
        <f t="shared" si="5"/>
        <v>0</v>
      </c>
      <c r="L26" s="188"/>
      <c r="M26" s="186"/>
      <c r="N26" s="190">
        <f t="shared" si="8"/>
        <v>0</v>
      </c>
      <c r="O26" s="188"/>
      <c r="P26" s="155"/>
      <c r="Q26" s="156"/>
      <c r="R26" s="188"/>
      <c r="S26" s="186"/>
      <c r="T26" s="190">
        <f t="shared" si="10"/>
        <v>0</v>
      </c>
      <c r="U26" s="198">
        <f t="shared" si="11"/>
        <v>0</v>
      </c>
      <c r="V26" s="199">
        <f t="shared" si="12"/>
        <v>0</v>
      </c>
      <c r="W26" s="295"/>
      <c r="X26" s="209">
        <f t="shared" ref="X26:AA26" si="87">X50+X96+X119+X142+X165</f>
        <v>153</v>
      </c>
      <c r="Y26" s="187">
        <f t="shared" si="87"/>
        <v>113</v>
      </c>
      <c r="Z26" s="187">
        <f t="shared" si="87"/>
        <v>40</v>
      </c>
      <c r="AA26" s="187">
        <f t="shared" si="87"/>
        <v>153</v>
      </c>
      <c r="AB26" s="202">
        <f t="shared" si="67"/>
        <v>0</v>
      </c>
      <c r="AC26" s="209">
        <f t="shared" ref="AC26:AF26" si="88">AC50+AC96+AC119+AC142+AC165</f>
        <v>175</v>
      </c>
      <c r="AD26" s="187">
        <f t="shared" si="88"/>
        <v>175</v>
      </c>
      <c r="AE26" s="187">
        <f t="shared" si="88"/>
        <v>0</v>
      </c>
      <c r="AF26" s="187">
        <f t="shared" si="88"/>
        <v>328</v>
      </c>
      <c r="AG26" s="202">
        <f t="shared" si="69"/>
        <v>1.1437908496732025</v>
      </c>
      <c r="AH26" s="209">
        <f t="shared" ref="AH26:AK26" si="89">AH50+AH96+AH119+AH142+AH165</f>
        <v>203</v>
      </c>
      <c r="AI26" s="187">
        <f t="shared" si="89"/>
        <v>203</v>
      </c>
      <c r="AJ26" s="187">
        <f t="shared" si="89"/>
        <v>0</v>
      </c>
      <c r="AK26" s="187">
        <f t="shared" si="89"/>
        <v>531</v>
      </c>
      <c r="AL26" s="202">
        <f t="shared" si="71"/>
        <v>0.61890243902439024</v>
      </c>
      <c r="AM26" s="209">
        <f t="shared" ref="AM26:AP26" si="90">AM50+AM96+AM119+AM142+AM165</f>
        <v>184</v>
      </c>
      <c r="AN26" s="187">
        <f t="shared" si="90"/>
        <v>184</v>
      </c>
      <c r="AO26" s="187">
        <f t="shared" si="90"/>
        <v>0</v>
      </c>
      <c r="AP26" s="187">
        <f t="shared" si="90"/>
        <v>715</v>
      </c>
      <c r="AQ26" s="202">
        <f t="shared" si="73"/>
        <v>0.34651600753295669</v>
      </c>
      <c r="AR26" s="209">
        <f t="shared" ref="AR26:AU26" si="91">AR50+AR96+AR119+AR142+AR165</f>
        <v>130</v>
      </c>
      <c r="AS26" s="187">
        <f t="shared" si="91"/>
        <v>130</v>
      </c>
      <c r="AT26" s="187">
        <f t="shared" si="91"/>
        <v>0</v>
      </c>
      <c r="AU26" s="187">
        <f t="shared" si="91"/>
        <v>845</v>
      </c>
      <c r="AV26" s="202">
        <f t="shared" si="75"/>
        <v>0.18181818181818182</v>
      </c>
      <c r="AW26" s="198">
        <f t="shared" si="76"/>
        <v>845</v>
      </c>
      <c r="AX26" s="199">
        <f t="shared" si="24"/>
        <v>0.53299705143294673</v>
      </c>
    </row>
    <row r="27" spans="1:50" ht="15" customHeight="1" outlineLevel="1" x14ac:dyDescent="0.25">
      <c r="B27" s="52" t="s">
        <v>308</v>
      </c>
      <c r="C27" s="64"/>
      <c r="D27" s="188"/>
      <c r="E27" s="189"/>
      <c r="F27" s="188"/>
      <c r="G27" s="186"/>
      <c r="H27" s="190">
        <f t="shared" si="2"/>
        <v>0</v>
      </c>
      <c r="I27" s="188"/>
      <c r="J27" s="186"/>
      <c r="K27" s="190">
        <f t="shared" si="5"/>
        <v>0</v>
      </c>
      <c r="L27" s="188"/>
      <c r="M27" s="186"/>
      <c r="N27" s="190">
        <f t="shared" si="8"/>
        <v>0</v>
      </c>
      <c r="O27" s="188"/>
      <c r="P27" s="155"/>
      <c r="Q27" s="156"/>
      <c r="R27" s="188"/>
      <c r="S27" s="186"/>
      <c r="T27" s="190">
        <f t="shared" si="10"/>
        <v>0</v>
      </c>
      <c r="U27" s="198">
        <f t="shared" si="11"/>
        <v>0</v>
      </c>
      <c r="V27" s="199">
        <f t="shared" si="12"/>
        <v>0</v>
      </c>
      <c r="W27" s="295"/>
      <c r="X27" s="209">
        <f t="shared" ref="X27:AA27" si="92">X51+X97+X120+X143+X166</f>
        <v>122</v>
      </c>
      <c r="Y27" s="187">
        <f t="shared" si="92"/>
        <v>9</v>
      </c>
      <c r="Z27" s="187">
        <f t="shared" si="92"/>
        <v>113</v>
      </c>
      <c r="AA27" s="187">
        <f t="shared" si="92"/>
        <v>122</v>
      </c>
      <c r="AB27" s="202">
        <f t="shared" si="67"/>
        <v>0</v>
      </c>
      <c r="AC27" s="209">
        <f t="shared" ref="AC27:AF27" si="93">AC51+AC97+AC120+AC143+AC166</f>
        <v>164</v>
      </c>
      <c r="AD27" s="187">
        <f t="shared" si="93"/>
        <v>164</v>
      </c>
      <c r="AE27" s="187">
        <f t="shared" si="93"/>
        <v>0</v>
      </c>
      <c r="AF27" s="187">
        <f t="shared" si="93"/>
        <v>286</v>
      </c>
      <c r="AG27" s="202">
        <f t="shared" si="69"/>
        <v>1.3442622950819672</v>
      </c>
      <c r="AH27" s="209">
        <f t="shared" ref="AH27:AK27" si="94">AH51+AH97+AH120+AH143+AH166</f>
        <v>184</v>
      </c>
      <c r="AI27" s="187">
        <f t="shared" si="94"/>
        <v>184</v>
      </c>
      <c r="AJ27" s="187">
        <f t="shared" si="94"/>
        <v>0</v>
      </c>
      <c r="AK27" s="187">
        <f t="shared" si="94"/>
        <v>470</v>
      </c>
      <c r="AL27" s="202">
        <f t="shared" si="71"/>
        <v>0.64335664335664333</v>
      </c>
      <c r="AM27" s="209">
        <f t="shared" ref="AM27:AP27" si="95">AM51+AM97+AM120+AM143+AM166</f>
        <v>152</v>
      </c>
      <c r="AN27" s="187">
        <f t="shared" si="95"/>
        <v>152</v>
      </c>
      <c r="AO27" s="187">
        <f t="shared" si="95"/>
        <v>0</v>
      </c>
      <c r="AP27" s="187">
        <f t="shared" si="95"/>
        <v>622</v>
      </c>
      <c r="AQ27" s="202">
        <f t="shared" si="73"/>
        <v>0.32340425531914896</v>
      </c>
      <c r="AR27" s="209">
        <f t="shared" ref="AR27:AU27" si="96">AR51+AR97+AR120+AR143+AR166</f>
        <v>145</v>
      </c>
      <c r="AS27" s="187">
        <f t="shared" si="96"/>
        <v>145</v>
      </c>
      <c r="AT27" s="187">
        <f t="shared" si="96"/>
        <v>0</v>
      </c>
      <c r="AU27" s="187">
        <f t="shared" si="96"/>
        <v>767</v>
      </c>
      <c r="AV27" s="202">
        <f t="shared" si="75"/>
        <v>0.23311897106109325</v>
      </c>
      <c r="AW27" s="198">
        <f t="shared" si="76"/>
        <v>767</v>
      </c>
      <c r="AX27" s="199">
        <f t="shared" si="24"/>
        <v>0.5834665127525287</v>
      </c>
    </row>
    <row r="28" spans="1:50" ht="15" customHeight="1" outlineLevel="1" x14ac:dyDescent="0.25">
      <c r="B28" s="52"/>
      <c r="C28" s="64"/>
      <c r="D28" s="188"/>
      <c r="E28" s="189"/>
      <c r="F28" s="188"/>
      <c r="G28" s="186"/>
      <c r="H28" s="190">
        <f t="shared" si="2"/>
        <v>0</v>
      </c>
      <c r="I28" s="188"/>
      <c r="J28" s="186"/>
      <c r="K28" s="190">
        <f t="shared" si="5"/>
        <v>0</v>
      </c>
      <c r="L28" s="188"/>
      <c r="M28" s="186"/>
      <c r="N28" s="190">
        <f t="shared" si="8"/>
        <v>0</v>
      </c>
      <c r="O28" s="188"/>
      <c r="P28" s="155"/>
      <c r="Q28" s="156"/>
      <c r="R28" s="188"/>
      <c r="S28" s="186"/>
      <c r="T28" s="190">
        <f t="shared" si="10"/>
        <v>0</v>
      </c>
      <c r="U28" s="198">
        <f t="shared" si="11"/>
        <v>0</v>
      </c>
      <c r="V28" s="199">
        <f t="shared" si="12"/>
        <v>0</v>
      </c>
      <c r="W28" s="295"/>
      <c r="X28" s="209"/>
      <c r="Y28" s="187"/>
      <c r="Z28" s="187"/>
      <c r="AA28" s="187"/>
      <c r="AB28" s="202">
        <f t="shared" si="14"/>
        <v>0</v>
      </c>
      <c r="AC28" s="209"/>
      <c r="AD28" s="187"/>
      <c r="AE28" s="187"/>
      <c r="AF28" s="187"/>
      <c r="AG28" s="202">
        <f t="shared" si="16"/>
        <v>0</v>
      </c>
      <c r="AH28" s="209"/>
      <c r="AI28" s="187"/>
      <c r="AJ28" s="187"/>
      <c r="AK28" s="187"/>
      <c r="AL28" s="202">
        <f t="shared" si="18"/>
        <v>0</v>
      </c>
      <c r="AM28" s="209"/>
      <c r="AN28" s="187"/>
      <c r="AO28" s="187"/>
      <c r="AP28" s="187"/>
      <c r="AQ28" s="202">
        <f t="shared" si="20"/>
        <v>0</v>
      </c>
      <c r="AR28" s="209"/>
      <c r="AS28" s="187"/>
      <c r="AT28" s="187"/>
      <c r="AU28" s="187"/>
      <c r="AV28" s="202">
        <f t="shared" si="22"/>
        <v>0</v>
      </c>
      <c r="AW28" s="198"/>
      <c r="AX28" s="199">
        <f t="shared" si="24"/>
        <v>0</v>
      </c>
    </row>
    <row r="29" spans="1:50" ht="15" customHeight="1" outlineLevel="1" x14ac:dyDescent="0.25">
      <c r="B29" s="349" t="s">
        <v>90</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97"/>
    </row>
    <row r="30" spans="1:50" ht="15" customHeight="1" outlineLevel="1" x14ac:dyDescent="0.25">
      <c r="B30" s="52" t="s">
        <v>82</v>
      </c>
      <c r="C30" s="49" t="s">
        <v>22</v>
      </c>
      <c r="D30" s="188">
        <f>SUM(D14:D28)</f>
        <v>0</v>
      </c>
      <c r="E30" s="189">
        <f>SUM(E14:E28)</f>
        <v>0</v>
      </c>
      <c r="F30" s="188">
        <f>SUM(F14:F28)</f>
        <v>0</v>
      </c>
      <c r="G30" s="187">
        <f>SUM(G14:G28)</f>
        <v>0</v>
      </c>
      <c r="H30" s="191">
        <f>IFERROR((G30-E30)/E30,0)</f>
        <v>0</v>
      </c>
      <c r="I30" s="188">
        <f>SUM(I14:I28)</f>
        <v>0</v>
      </c>
      <c r="J30" s="187">
        <f>SUM(J14:J28)</f>
        <v>0</v>
      </c>
      <c r="K30" s="191">
        <f t="shared" si="5"/>
        <v>0</v>
      </c>
      <c r="L30" s="188">
        <f>SUM(L14:L28)</f>
        <v>0</v>
      </c>
      <c r="M30" s="187">
        <f>SUM(M14:M28)</f>
        <v>0</v>
      </c>
      <c r="N30" s="191">
        <f t="shared" si="8"/>
        <v>0</v>
      </c>
      <c r="O30" s="188">
        <f>SUM(O14:O28)</f>
        <v>197</v>
      </c>
      <c r="P30" s="152"/>
      <c r="Q30" s="160"/>
      <c r="R30" s="188">
        <f>SUM(R14:R28)</f>
        <v>3615</v>
      </c>
      <c r="S30" s="187">
        <f>SUM(S14:S28)</f>
        <v>3615</v>
      </c>
      <c r="T30" s="191">
        <f t="shared" si="10"/>
        <v>0</v>
      </c>
      <c r="U30" s="198">
        <f>D30+F30+I30+L30+R30</f>
        <v>3615</v>
      </c>
      <c r="V30" s="199">
        <f>IFERROR((S30/E30)^(1/4)-1,0)</f>
        <v>0</v>
      </c>
      <c r="X30" s="188">
        <f>SUM(X14:X28)</f>
        <v>3017</v>
      </c>
      <c r="Y30" s="187">
        <f>SUM(Y14:Y28)</f>
        <v>917</v>
      </c>
      <c r="Z30" s="187">
        <f>SUM(Z14:Z28)</f>
        <v>2100</v>
      </c>
      <c r="AA30" s="187">
        <f>SUM(AA14:AA28)</f>
        <v>4260</v>
      </c>
      <c r="AB30" s="202">
        <f>IFERROR((AA30-S30)/S30,0)</f>
        <v>0.17842323651452283</v>
      </c>
      <c r="AC30" s="188">
        <f>SUM(AC14:AC28)</f>
        <v>7307</v>
      </c>
      <c r="AD30" s="187">
        <f>SUM(AD14:AD28)</f>
        <v>7307</v>
      </c>
      <c r="AE30" s="187">
        <f>SUM(AE14:AE28)</f>
        <v>0</v>
      </c>
      <c r="AF30" s="187">
        <f>SUM(AF14:AF28)</f>
        <v>11567</v>
      </c>
      <c r="AG30" s="202">
        <f t="shared" si="16"/>
        <v>1.7152582159624412</v>
      </c>
      <c r="AH30" s="188">
        <f>SUM(AH14:AH28)</f>
        <v>5638</v>
      </c>
      <c r="AI30" s="187">
        <f>SUM(AI14:AI28)</f>
        <v>5638</v>
      </c>
      <c r="AJ30" s="187">
        <f>SUM(AJ14:AJ28)</f>
        <v>0</v>
      </c>
      <c r="AK30" s="187">
        <f>SUM(AK14:AK28)</f>
        <v>17205</v>
      </c>
      <c r="AL30" s="202">
        <f t="shared" si="18"/>
        <v>0.4874211117835221</v>
      </c>
      <c r="AM30" s="188">
        <f>SUM(AM14:AM28)</f>
        <v>3926</v>
      </c>
      <c r="AN30" s="187">
        <f>SUM(AN14:AN28)</f>
        <v>3926</v>
      </c>
      <c r="AO30" s="187">
        <f>SUM(AO14:AO28)</f>
        <v>0</v>
      </c>
      <c r="AP30" s="187">
        <f>SUM(AP14:AP28)</f>
        <v>21131</v>
      </c>
      <c r="AQ30" s="202">
        <f t="shared" si="20"/>
        <v>0.22818947980238302</v>
      </c>
      <c r="AR30" s="188">
        <f>SUM(AR14:AR28)</f>
        <v>2089</v>
      </c>
      <c r="AS30" s="187">
        <f>SUM(AS14:AS28)</f>
        <v>2089</v>
      </c>
      <c r="AT30" s="187">
        <f>SUM(AT14:AT28)</f>
        <v>0</v>
      </c>
      <c r="AU30" s="187">
        <f>SUM(AU14:AU28)</f>
        <v>23220</v>
      </c>
      <c r="AV30" s="202">
        <f t="shared" si="22"/>
        <v>9.8859495527897398E-2</v>
      </c>
      <c r="AW30" s="188">
        <f>SUM(AW14:AW28)</f>
        <v>21977</v>
      </c>
      <c r="AX30" s="199">
        <f t="shared" si="24"/>
        <v>0.52796411267169985</v>
      </c>
    </row>
    <row r="31" spans="1:50" ht="15" customHeight="1" x14ac:dyDescent="0.25">
      <c r="R31" s="55" t="s">
        <v>278</v>
      </c>
    </row>
    <row r="32" spans="1:50" ht="15" customHeight="1" x14ac:dyDescent="0.25">
      <c r="R32" s="55"/>
    </row>
    <row r="33" spans="1:50" ht="15.75" x14ac:dyDescent="0.25">
      <c r="B33" s="352" t="s">
        <v>203</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row>
    <row r="34" spans="1:50" ht="5.45" customHeight="1" outlineLevel="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row>
    <row r="35" spans="1:50" outlineLevel="1" x14ac:dyDescent="0.25">
      <c r="B35" s="393"/>
      <c r="C35" s="396" t="s">
        <v>20</v>
      </c>
      <c r="D35" s="372" t="s">
        <v>262</v>
      </c>
      <c r="E35" s="373"/>
      <c r="F35" s="373"/>
      <c r="G35" s="373"/>
      <c r="H35" s="373"/>
      <c r="I35" s="373"/>
      <c r="J35" s="373"/>
      <c r="K35" s="373"/>
      <c r="L35" s="373"/>
      <c r="M35" s="373"/>
      <c r="N35" s="373"/>
      <c r="O35" s="373"/>
      <c r="P35" s="373"/>
      <c r="Q35" s="374"/>
      <c r="R35" s="372" t="s">
        <v>260</v>
      </c>
      <c r="S35" s="373"/>
      <c r="T35" s="374"/>
      <c r="U35" s="388" t="str">
        <f xml:space="preserve"> D36&amp;" - "&amp;R36</f>
        <v>2018 - 2022</v>
      </c>
      <c r="V35" s="398"/>
      <c r="X35" s="372" t="s">
        <v>261</v>
      </c>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outlineLevel="1" x14ac:dyDescent="0.25">
      <c r="B36" s="394"/>
      <c r="C36" s="396"/>
      <c r="D36" s="372">
        <f>$C$3-5</f>
        <v>2018</v>
      </c>
      <c r="E36" s="374"/>
      <c r="F36" s="372">
        <f>$C$3-4</f>
        <v>2019</v>
      </c>
      <c r="G36" s="373"/>
      <c r="H36" s="374"/>
      <c r="I36" s="372">
        <f>$C$3-3</f>
        <v>2020</v>
      </c>
      <c r="J36" s="373"/>
      <c r="K36" s="374"/>
      <c r="L36" s="372">
        <f>$C$3-2</f>
        <v>2021</v>
      </c>
      <c r="M36" s="373"/>
      <c r="N36" s="374"/>
      <c r="O36" s="372" t="str">
        <f>$C$3-1&amp;""&amp;" ("&amp;"Σεπτ"&amp;")"</f>
        <v>2022 (Σεπτ)</v>
      </c>
      <c r="P36" s="373"/>
      <c r="Q36" s="374"/>
      <c r="R36" s="372">
        <f>$C$3-1</f>
        <v>2022</v>
      </c>
      <c r="S36" s="373"/>
      <c r="T36" s="374"/>
      <c r="U36" s="390"/>
      <c r="V36" s="399"/>
      <c r="X36" s="372">
        <f>$C$3</f>
        <v>2023</v>
      </c>
      <c r="Y36" s="373"/>
      <c r="Z36" s="373"/>
      <c r="AA36" s="373"/>
      <c r="AB36" s="374"/>
      <c r="AC36" s="372">
        <f>$C$3+1</f>
        <v>2024</v>
      </c>
      <c r="AD36" s="373"/>
      <c r="AE36" s="373"/>
      <c r="AF36" s="373"/>
      <c r="AG36" s="374"/>
      <c r="AH36" s="372">
        <f>$C$3+2</f>
        <v>2025</v>
      </c>
      <c r="AI36" s="373"/>
      <c r="AJ36" s="373"/>
      <c r="AK36" s="373"/>
      <c r="AL36" s="374"/>
      <c r="AM36" s="372">
        <f>$C$3+3</f>
        <v>2026</v>
      </c>
      <c r="AN36" s="373"/>
      <c r="AO36" s="373"/>
      <c r="AP36" s="373"/>
      <c r="AQ36" s="374"/>
      <c r="AR36" s="372">
        <f>$C$3+4</f>
        <v>2027</v>
      </c>
      <c r="AS36" s="373"/>
      <c r="AT36" s="373"/>
      <c r="AU36" s="373"/>
      <c r="AV36" s="374"/>
      <c r="AW36" s="376" t="str">
        <f>X36&amp;" - "&amp;AR36</f>
        <v>2023 - 2027</v>
      </c>
      <c r="AX36" s="392"/>
    </row>
    <row r="37" spans="1:50" ht="45" outlineLevel="1" x14ac:dyDescent="0.25">
      <c r="B37" s="395"/>
      <c r="C37" s="396"/>
      <c r="D37" s="67" t="s">
        <v>6</v>
      </c>
      <c r="E37" s="68" t="s">
        <v>7</v>
      </c>
      <c r="F37" s="67" t="s">
        <v>6</v>
      </c>
      <c r="G37" s="9" t="s">
        <v>7</v>
      </c>
      <c r="H37" s="68" t="s">
        <v>81</v>
      </c>
      <c r="I37" s="67" t="s">
        <v>6</v>
      </c>
      <c r="J37" s="9" t="s">
        <v>7</v>
      </c>
      <c r="K37" s="68" t="s">
        <v>81</v>
      </c>
      <c r="L37" s="67" t="s">
        <v>6</v>
      </c>
      <c r="M37" s="9" t="s">
        <v>7</v>
      </c>
      <c r="N37" s="68" t="s">
        <v>81</v>
      </c>
      <c r="O37" s="67" t="s">
        <v>6</v>
      </c>
      <c r="P37" s="9" t="s">
        <v>7</v>
      </c>
      <c r="Q37" s="68" t="s">
        <v>81</v>
      </c>
      <c r="R37" s="67" t="s">
        <v>6</v>
      </c>
      <c r="S37" s="9" t="s">
        <v>7</v>
      </c>
      <c r="T37" s="68" t="s">
        <v>81</v>
      </c>
      <c r="U37" s="67" t="s">
        <v>17</v>
      </c>
      <c r="V37" s="132" t="s">
        <v>83</v>
      </c>
      <c r="X37" s="67" t="s">
        <v>6</v>
      </c>
      <c r="Y37" s="117" t="s">
        <v>88</v>
      </c>
      <c r="Z37" s="117" t="s">
        <v>89</v>
      </c>
      <c r="AA37" s="9" t="s">
        <v>7</v>
      </c>
      <c r="AB37" s="68" t="s">
        <v>81</v>
      </c>
      <c r="AC37" s="67" t="s">
        <v>6</v>
      </c>
      <c r="AD37" s="117" t="s">
        <v>88</v>
      </c>
      <c r="AE37" s="117" t="s">
        <v>89</v>
      </c>
      <c r="AF37" s="9" t="s">
        <v>7</v>
      </c>
      <c r="AG37" s="68" t="s">
        <v>81</v>
      </c>
      <c r="AH37" s="67" t="s">
        <v>6</v>
      </c>
      <c r="AI37" s="117" t="s">
        <v>88</v>
      </c>
      <c r="AJ37" s="117" t="s">
        <v>89</v>
      </c>
      <c r="AK37" s="9" t="s">
        <v>7</v>
      </c>
      <c r="AL37" s="68" t="s">
        <v>81</v>
      </c>
      <c r="AM37" s="67" t="s">
        <v>6</v>
      </c>
      <c r="AN37" s="117" t="s">
        <v>88</v>
      </c>
      <c r="AO37" s="117" t="s">
        <v>89</v>
      </c>
      <c r="AP37" s="9" t="s">
        <v>7</v>
      </c>
      <c r="AQ37" s="68" t="s">
        <v>81</v>
      </c>
      <c r="AR37" s="67" t="s">
        <v>6</v>
      </c>
      <c r="AS37" s="117" t="s">
        <v>88</v>
      </c>
      <c r="AT37" s="117" t="s">
        <v>89</v>
      </c>
      <c r="AU37" s="9" t="s">
        <v>7</v>
      </c>
      <c r="AV37" s="68" t="s">
        <v>81</v>
      </c>
      <c r="AW37" s="67" t="s">
        <v>17</v>
      </c>
      <c r="AX37" s="132" t="s">
        <v>83</v>
      </c>
    </row>
    <row r="38" spans="1:50" outlineLevel="1" x14ac:dyDescent="0.25">
      <c r="B38" s="281" t="s">
        <v>283</v>
      </c>
      <c r="C38" s="64" t="s">
        <v>22</v>
      </c>
      <c r="D38" s="71"/>
      <c r="E38" s="72"/>
      <c r="F38" s="71"/>
      <c r="G38" s="167">
        <f t="shared" ref="G38:G46" si="97">E38+F38</f>
        <v>0</v>
      </c>
      <c r="H38" s="203">
        <f t="shared" ref="H38:H52" si="98">IFERROR((G38-E38)/E38,0)</f>
        <v>0</v>
      </c>
      <c r="I38" s="71"/>
      <c r="J38" s="167">
        <f t="shared" ref="J38:J46" si="99">G38+I38</f>
        <v>0</v>
      </c>
      <c r="K38" s="203">
        <f t="shared" ref="K38:K54" si="100">IFERROR((J38-G38)/G38,0)</f>
        <v>0</v>
      </c>
      <c r="L38" s="71"/>
      <c r="M38" s="167">
        <f t="shared" ref="M38:M46" si="101">J38+L38</f>
        <v>0</v>
      </c>
      <c r="N38" s="203">
        <f t="shared" ref="N38:N54" si="102">IFERROR((M38-J38)/J38,0)</f>
        <v>0</v>
      </c>
      <c r="O38" s="71">
        <f>'Ενεργές συνδέσεις'!O38</f>
        <v>26</v>
      </c>
      <c r="P38" s="33"/>
      <c r="Q38" s="157"/>
      <c r="R38" s="71">
        <f>'Ενεργές συνδέσεις'!R38</f>
        <v>26</v>
      </c>
      <c r="S38" s="167">
        <f t="shared" ref="S38:S46" si="103">M38+R38</f>
        <v>26</v>
      </c>
      <c r="T38" s="203">
        <f t="shared" ref="T38:T54" si="104">IFERROR((S38-M38)/M38,0)</f>
        <v>0</v>
      </c>
      <c r="U38" s="198">
        <f t="shared" ref="U38:U52" si="105">D38+F38+I38+L38+R38</f>
        <v>26</v>
      </c>
      <c r="V38" s="199">
        <f t="shared" ref="V38:V52" si="106">IFERROR((S38/E38)^(1/4)-1,0)</f>
        <v>0</v>
      </c>
      <c r="X38" s="206">
        <f>Y38+Z38</f>
        <v>122</v>
      </c>
      <c r="Y38" s="6">
        <f>'Ενεργές συνδέσεις'!Y38</f>
        <v>122</v>
      </c>
      <c r="Z38" s="6">
        <f>'Ενεργές συνδέσεις'!Z38</f>
        <v>0</v>
      </c>
      <c r="AA38" s="167">
        <f t="shared" ref="AA38:AA46" si="107">S38+X38</f>
        <v>148</v>
      </c>
      <c r="AB38" s="203">
        <f t="shared" ref="AB38:AB52" si="108">IFERROR((AA38-S38)/S38,0)</f>
        <v>4.6923076923076925</v>
      </c>
      <c r="AC38" s="206">
        <f>AD38+AE38</f>
        <v>185</v>
      </c>
      <c r="AD38" s="6">
        <f>'Ενεργές συνδέσεις'!AD38</f>
        <v>185</v>
      </c>
      <c r="AE38" s="6">
        <f>'Ενεργές συνδέσεις'!AE38</f>
        <v>0</v>
      </c>
      <c r="AF38" s="167">
        <f t="shared" ref="AF38:AF46" si="109">AA38+AC38</f>
        <v>333</v>
      </c>
      <c r="AG38" s="190">
        <f t="shared" ref="AG38:AG54" si="110">IFERROR((AF38-AA38)/AA38,0)</f>
        <v>1.25</v>
      </c>
      <c r="AH38" s="206">
        <f>AI38+AJ38</f>
        <v>105</v>
      </c>
      <c r="AI38" s="6">
        <f>'Ενεργές συνδέσεις'!AI38</f>
        <v>105</v>
      </c>
      <c r="AJ38" s="6">
        <f>'Ενεργές συνδέσεις'!AJ38</f>
        <v>0</v>
      </c>
      <c r="AK38" s="167">
        <f t="shared" ref="AK38:AK46" si="111">AF38+AH38</f>
        <v>438</v>
      </c>
      <c r="AL38" s="190">
        <f t="shared" ref="AL38:AL54" si="112">IFERROR((AK38-AF38)/AF38,0)</f>
        <v>0.31531531531531531</v>
      </c>
      <c r="AM38" s="206">
        <f>AN38+AO38</f>
        <v>30</v>
      </c>
      <c r="AN38" s="6">
        <f>'Ενεργές συνδέσεις'!AN38</f>
        <v>30</v>
      </c>
      <c r="AO38" s="6">
        <f>'Ενεργές συνδέσεις'!AO38</f>
        <v>0</v>
      </c>
      <c r="AP38" s="167">
        <f t="shared" ref="AP38:AP46" si="113">AK38+AM38</f>
        <v>468</v>
      </c>
      <c r="AQ38" s="190">
        <f t="shared" ref="AQ38:AQ54" si="114">IFERROR((AP38-AK38)/AK38,0)</f>
        <v>6.8493150684931503E-2</v>
      </c>
      <c r="AR38" s="206">
        <f>AS38+AT38</f>
        <v>0</v>
      </c>
      <c r="AS38" s="6"/>
      <c r="AT38" s="6">
        <f>'Ενεργές συνδέσεις'!AT38</f>
        <v>0</v>
      </c>
      <c r="AU38" s="167">
        <f t="shared" ref="AU38:AU46" si="115">AP38+AR38</f>
        <v>468</v>
      </c>
      <c r="AV38" s="190">
        <f t="shared" ref="AV38:AV54" si="116">IFERROR((AU38-AP38)/AP38,0)</f>
        <v>0</v>
      </c>
      <c r="AW38" s="198">
        <f t="shared" ref="AW38:AW46" si="117">X38+AC38+AH38+AM38+AR38</f>
        <v>442</v>
      </c>
      <c r="AX38" s="199">
        <f t="shared" ref="AX38:AX54" si="118">IFERROR((AU38/AA38)^(1/4)-1,0)</f>
        <v>0.33350925572020595</v>
      </c>
    </row>
    <row r="39" spans="1:50" s="55" customFormat="1" outlineLevel="1" x14ac:dyDescent="0.25">
      <c r="A39"/>
      <c r="B39" s="52" t="s">
        <v>284</v>
      </c>
      <c r="C39" s="64" t="s">
        <v>22</v>
      </c>
      <c r="D39" s="73"/>
      <c r="E39" s="74"/>
      <c r="F39" s="73"/>
      <c r="G39" s="167">
        <f t="shared" si="97"/>
        <v>0</v>
      </c>
      <c r="H39" s="203">
        <f t="shared" si="98"/>
        <v>0</v>
      </c>
      <c r="I39" s="73"/>
      <c r="J39" s="167">
        <f t="shared" si="99"/>
        <v>0</v>
      </c>
      <c r="K39" s="203">
        <f t="shared" si="100"/>
        <v>0</v>
      </c>
      <c r="L39" s="73"/>
      <c r="M39" s="167">
        <f t="shared" si="101"/>
        <v>0</v>
      </c>
      <c r="N39" s="203">
        <f t="shared" si="102"/>
        <v>0</v>
      </c>
      <c r="O39" s="71">
        <f>'Ενεργές συνδέσεις'!O39</f>
        <v>0</v>
      </c>
      <c r="P39" s="151"/>
      <c r="Q39" s="154"/>
      <c r="R39" s="71">
        <f>'Ενεργές συνδέσεις'!R39</f>
        <v>0</v>
      </c>
      <c r="S39" s="167">
        <f t="shared" si="103"/>
        <v>0</v>
      </c>
      <c r="T39" s="203">
        <f t="shared" si="104"/>
        <v>0</v>
      </c>
      <c r="U39" s="198">
        <f t="shared" si="105"/>
        <v>0</v>
      </c>
      <c r="V39" s="199">
        <f t="shared" si="106"/>
        <v>0</v>
      </c>
      <c r="W39"/>
      <c r="X39" s="206">
        <f t="shared" ref="X39:X46" si="119">Y39+Z39</f>
        <v>179</v>
      </c>
      <c r="Y39" s="6">
        <f>'Ενεργές συνδέσεις'!Y39</f>
        <v>179</v>
      </c>
      <c r="Z39" s="6">
        <f>'Ενεργές συνδέσεις'!Z39</f>
        <v>0</v>
      </c>
      <c r="AA39" s="167">
        <f t="shared" si="107"/>
        <v>179</v>
      </c>
      <c r="AB39" s="203">
        <f t="shared" si="108"/>
        <v>0</v>
      </c>
      <c r="AC39" s="206">
        <f t="shared" ref="AC39:AC46" si="120">AD39+AE39</f>
        <v>260</v>
      </c>
      <c r="AD39" s="6">
        <f>'Ενεργές συνδέσεις'!AD39</f>
        <v>260</v>
      </c>
      <c r="AE39" s="6">
        <f>'Ενεργές συνδέσεις'!AE39</f>
        <v>0</v>
      </c>
      <c r="AF39" s="167">
        <f t="shared" si="109"/>
        <v>439</v>
      </c>
      <c r="AG39" s="190">
        <f t="shared" si="110"/>
        <v>1.4525139664804469</v>
      </c>
      <c r="AH39" s="206">
        <f t="shared" ref="AH39:AH46" si="121">AI39+AJ39</f>
        <v>254</v>
      </c>
      <c r="AI39" s="6">
        <f>'Ενεργές συνδέσεις'!AI39</f>
        <v>254</v>
      </c>
      <c r="AJ39" s="6">
        <f>'Ενεργές συνδέσεις'!AJ39</f>
        <v>0</v>
      </c>
      <c r="AK39" s="167">
        <f t="shared" si="111"/>
        <v>693</v>
      </c>
      <c r="AL39" s="190">
        <f t="shared" si="112"/>
        <v>0.57858769931662868</v>
      </c>
      <c r="AM39" s="206">
        <f t="shared" ref="AM39:AM46" si="122">AN39+AO39</f>
        <v>68</v>
      </c>
      <c r="AN39" s="6">
        <f>'Ενεργές συνδέσεις'!AN39</f>
        <v>68</v>
      </c>
      <c r="AO39" s="6">
        <f>'Ενεργές συνδέσεις'!AO39</f>
        <v>0</v>
      </c>
      <c r="AP39" s="167">
        <f t="shared" si="113"/>
        <v>761</v>
      </c>
      <c r="AQ39" s="190">
        <f t="shared" si="114"/>
        <v>9.8124098124098127E-2</v>
      </c>
      <c r="AR39" s="206">
        <f t="shared" ref="AR39:AR46" si="123">AS39+AT39</f>
        <v>0</v>
      </c>
      <c r="AS39" s="6"/>
      <c r="AT39" s="6">
        <f>'Ενεργές συνδέσεις'!AT39</f>
        <v>0</v>
      </c>
      <c r="AU39" s="167">
        <f t="shared" si="115"/>
        <v>761</v>
      </c>
      <c r="AV39" s="190">
        <f t="shared" si="116"/>
        <v>0</v>
      </c>
      <c r="AW39" s="198">
        <f t="shared" si="117"/>
        <v>761</v>
      </c>
      <c r="AX39" s="199">
        <f t="shared" si="118"/>
        <v>0.43592880112165955</v>
      </c>
    </row>
    <row r="40" spans="1:50" s="55" customFormat="1" outlineLevel="1" x14ac:dyDescent="0.25">
      <c r="A40"/>
      <c r="B40" s="52" t="s">
        <v>285</v>
      </c>
      <c r="C40" s="64" t="s">
        <v>22</v>
      </c>
      <c r="D40" s="73"/>
      <c r="E40" s="74"/>
      <c r="F40" s="73"/>
      <c r="G40" s="167">
        <f t="shared" si="97"/>
        <v>0</v>
      </c>
      <c r="H40" s="203">
        <f t="shared" si="98"/>
        <v>0</v>
      </c>
      <c r="I40" s="73"/>
      <c r="J40" s="167">
        <f t="shared" si="99"/>
        <v>0</v>
      </c>
      <c r="K40" s="203">
        <f t="shared" si="100"/>
        <v>0</v>
      </c>
      <c r="L40" s="73"/>
      <c r="M40" s="167">
        <f t="shared" si="101"/>
        <v>0</v>
      </c>
      <c r="N40" s="203">
        <f t="shared" si="102"/>
        <v>0</v>
      </c>
      <c r="O40" s="71">
        <f>'Ενεργές συνδέσεις'!O40</f>
        <v>0</v>
      </c>
      <c r="P40" s="151"/>
      <c r="Q40" s="154"/>
      <c r="R40" s="71">
        <f>'Ενεργές συνδέσεις'!R40</f>
        <v>0</v>
      </c>
      <c r="S40" s="167">
        <f t="shared" si="103"/>
        <v>0</v>
      </c>
      <c r="T40" s="203">
        <f t="shared" si="104"/>
        <v>0</v>
      </c>
      <c r="U40" s="198">
        <f t="shared" si="105"/>
        <v>0</v>
      </c>
      <c r="V40" s="199">
        <f t="shared" si="106"/>
        <v>0</v>
      </c>
      <c r="W40"/>
      <c r="X40" s="206">
        <f t="shared" si="119"/>
        <v>168</v>
      </c>
      <c r="Y40" s="6">
        <f>'Ενεργές συνδέσεις'!Y40</f>
        <v>168</v>
      </c>
      <c r="Z40" s="6">
        <f>'Ενεργές συνδέσεις'!Z40</f>
        <v>0</v>
      </c>
      <c r="AA40" s="167">
        <f t="shared" si="107"/>
        <v>168</v>
      </c>
      <c r="AB40" s="203">
        <f t="shared" si="108"/>
        <v>0</v>
      </c>
      <c r="AC40" s="206">
        <f t="shared" si="120"/>
        <v>255</v>
      </c>
      <c r="AD40" s="6">
        <f>'Ενεργές συνδέσεις'!AD40</f>
        <v>255</v>
      </c>
      <c r="AE40" s="6">
        <f>'Ενεργές συνδέσεις'!AE40</f>
        <v>0</v>
      </c>
      <c r="AF40" s="167">
        <f t="shared" si="109"/>
        <v>423</v>
      </c>
      <c r="AG40" s="190">
        <f t="shared" si="110"/>
        <v>1.5178571428571428</v>
      </c>
      <c r="AH40" s="206">
        <f t="shared" si="121"/>
        <v>206</v>
      </c>
      <c r="AI40" s="6">
        <f>'Ενεργές συνδέσεις'!AI40</f>
        <v>206</v>
      </c>
      <c r="AJ40" s="6">
        <f>'Ενεργές συνδέσεις'!AJ40</f>
        <v>0</v>
      </c>
      <c r="AK40" s="167">
        <f t="shared" si="111"/>
        <v>629</v>
      </c>
      <c r="AL40" s="190">
        <f t="shared" si="112"/>
        <v>0.48699763593380613</v>
      </c>
      <c r="AM40" s="206">
        <f t="shared" si="122"/>
        <v>64</v>
      </c>
      <c r="AN40" s="6">
        <f>'Ενεργές συνδέσεις'!AN40</f>
        <v>64</v>
      </c>
      <c r="AO40" s="6">
        <f>'Ενεργές συνδέσεις'!AO40</f>
        <v>0</v>
      </c>
      <c r="AP40" s="167">
        <f t="shared" si="113"/>
        <v>693</v>
      </c>
      <c r="AQ40" s="190">
        <f t="shared" si="114"/>
        <v>0.10174880763116058</v>
      </c>
      <c r="AR40" s="206">
        <f t="shared" si="123"/>
        <v>0</v>
      </c>
      <c r="AS40" s="6"/>
      <c r="AT40" s="6">
        <f>'Ενεργές συνδέσεις'!AT40</f>
        <v>0</v>
      </c>
      <c r="AU40" s="167">
        <f t="shared" si="115"/>
        <v>693</v>
      </c>
      <c r="AV40" s="190">
        <f t="shared" si="116"/>
        <v>0</v>
      </c>
      <c r="AW40" s="198">
        <f t="shared" si="117"/>
        <v>693</v>
      </c>
      <c r="AX40" s="199">
        <f t="shared" si="118"/>
        <v>0.42513494138589913</v>
      </c>
    </row>
    <row r="41" spans="1:50" outlineLevel="1" x14ac:dyDescent="0.25">
      <c r="B41" s="52" t="s">
        <v>286</v>
      </c>
      <c r="C41" s="64" t="s">
        <v>22</v>
      </c>
      <c r="D41" s="71"/>
      <c r="E41" s="72"/>
      <c r="F41" s="71"/>
      <c r="G41" s="167">
        <f t="shared" si="97"/>
        <v>0</v>
      </c>
      <c r="H41" s="203">
        <f t="shared" si="98"/>
        <v>0</v>
      </c>
      <c r="I41" s="71"/>
      <c r="J41" s="167">
        <f t="shared" si="99"/>
        <v>0</v>
      </c>
      <c r="K41" s="203">
        <f t="shared" si="100"/>
        <v>0</v>
      </c>
      <c r="L41" s="71"/>
      <c r="M41" s="167">
        <f t="shared" si="101"/>
        <v>0</v>
      </c>
      <c r="N41" s="203">
        <f t="shared" si="102"/>
        <v>0</v>
      </c>
      <c r="O41" s="71">
        <f>'Ενεργές συνδέσεις'!O41</f>
        <v>0</v>
      </c>
      <c r="P41" s="33"/>
      <c r="Q41" s="157"/>
      <c r="R41" s="71">
        <f>'Ενεργές συνδέσεις'!R41</f>
        <v>0</v>
      </c>
      <c r="S41" s="167">
        <f t="shared" si="103"/>
        <v>0</v>
      </c>
      <c r="T41" s="203">
        <f t="shared" si="104"/>
        <v>0</v>
      </c>
      <c r="U41" s="198">
        <f t="shared" si="105"/>
        <v>0</v>
      </c>
      <c r="V41" s="199">
        <f t="shared" si="106"/>
        <v>0</v>
      </c>
      <c r="X41" s="206">
        <f t="shared" si="119"/>
        <v>235</v>
      </c>
      <c r="Y41" s="6">
        <f>'Ενεργές συνδέσεις'!Y41</f>
        <v>0</v>
      </c>
      <c r="Z41" s="6">
        <f>'Ενεργές συνδέσεις'!Z41</f>
        <v>235</v>
      </c>
      <c r="AA41" s="167">
        <f t="shared" si="107"/>
        <v>235</v>
      </c>
      <c r="AB41" s="203">
        <f t="shared" si="108"/>
        <v>0</v>
      </c>
      <c r="AC41" s="206">
        <f t="shared" si="120"/>
        <v>1070</v>
      </c>
      <c r="AD41" s="6">
        <f>'Ενεργές συνδέσεις'!AD41</f>
        <v>1070</v>
      </c>
      <c r="AE41" s="6">
        <f>'Ενεργές συνδέσεις'!AE41</f>
        <v>0</v>
      </c>
      <c r="AF41" s="167">
        <f t="shared" si="109"/>
        <v>1305</v>
      </c>
      <c r="AG41" s="190">
        <f t="shared" si="110"/>
        <v>4.5531914893617023</v>
      </c>
      <c r="AH41" s="206">
        <f t="shared" si="121"/>
        <v>810</v>
      </c>
      <c r="AI41" s="6">
        <f>'Ενεργές συνδέσεις'!AI41</f>
        <v>810</v>
      </c>
      <c r="AJ41" s="6">
        <f>'Ενεργές συνδέσεις'!AJ41</f>
        <v>0</v>
      </c>
      <c r="AK41" s="167">
        <f t="shared" si="111"/>
        <v>2115</v>
      </c>
      <c r="AL41" s="190">
        <f t="shared" si="112"/>
        <v>0.62068965517241381</v>
      </c>
      <c r="AM41" s="206">
        <f t="shared" si="122"/>
        <v>277</v>
      </c>
      <c r="AN41" s="6">
        <f>'Ενεργές συνδέσεις'!AN41</f>
        <v>277</v>
      </c>
      <c r="AO41" s="6">
        <f>'Ενεργές συνδέσεις'!AO41</f>
        <v>0</v>
      </c>
      <c r="AP41" s="167">
        <f t="shared" si="113"/>
        <v>2392</v>
      </c>
      <c r="AQ41" s="190">
        <f t="shared" si="114"/>
        <v>0.1309692671394799</v>
      </c>
      <c r="AR41" s="206">
        <f t="shared" si="123"/>
        <v>138</v>
      </c>
      <c r="AS41" s="6">
        <f>'Ενεργές συνδέσεις'!AS41</f>
        <v>138</v>
      </c>
      <c r="AT41" s="6">
        <f>'Ενεργές συνδέσεις'!AT41</f>
        <v>0</v>
      </c>
      <c r="AU41" s="167">
        <f t="shared" si="115"/>
        <v>2530</v>
      </c>
      <c r="AV41" s="190">
        <f t="shared" si="116"/>
        <v>5.7692307692307696E-2</v>
      </c>
      <c r="AW41" s="198">
        <f t="shared" si="117"/>
        <v>2530</v>
      </c>
      <c r="AX41" s="199">
        <f t="shared" si="118"/>
        <v>0.81139500042631907</v>
      </c>
    </row>
    <row r="42" spans="1:50" s="55" customFormat="1" outlineLevel="1" x14ac:dyDescent="0.25">
      <c r="A42"/>
      <c r="B42" s="52" t="s">
        <v>287</v>
      </c>
      <c r="C42" s="64" t="s">
        <v>22</v>
      </c>
      <c r="D42" s="73"/>
      <c r="E42" s="74"/>
      <c r="F42" s="73"/>
      <c r="G42" s="167">
        <f t="shared" si="97"/>
        <v>0</v>
      </c>
      <c r="H42" s="203">
        <f t="shared" si="98"/>
        <v>0</v>
      </c>
      <c r="I42" s="73"/>
      <c r="J42" s="167">
        <f t="shared" si="99"/>
        <v>0</v>
      </c>
      <c r="K42" s="203">
        <f t="shared" si="100"/>
        <v>0</v>
      </c>
      <c r="L42" s="73"/>
      <c r="M42" s="167">
        <f t="shared" si="101"/>
        <v>0</v>
      </c>
      <c r="N42" s="203">
        <f t="shared" si="102"/>
        <v>0</v>
      </c>
      <c r="O42" s="71">
        <f>'Ενεργές συνδέσεις'!O42</f>
        <v>0</v>
      </c>
      <c r="P42" s="151"/>
      <c r="Q42" s="154"/>
      <c r="R42" s="71">
        <f>'Ενεργές συνδέσεις'!R42</f>
        <v>0</v>
      </c>
      <c r="S42" s="167">
        <f t="shared" si="103"/>
        <v>0</v>
      </c>
      <c r="T42" s="203">
        <f t="shared" si="104"/>
        <v>0</v>
      </c>
      <c r="U42" s="198">
        <f t="shared" si="105"/>
        <v>0</v>
      </c>
      <c r="V42" s="199">
        <f t="shared" si="106"/>
        <v>0</v>
      </c>
      <c r="W42"/>
      <c r="X42" s="206">
        <f t="shared" si="119"/>
        <v>0</v>
      </c>
      <c r="Y42" s="6">
        <f>'Ενεργές συνδέσεις'!Y42</f>
        <v>0</v>
      </c>
      <c r="Z42" s="6">
        <f>'Ενεργές συνδέσεις'!Z42</f>
        <v>0</v>
      </c>
      <c r="AA42" s="167">
        <f t="shared" si="107"/>
        <v>0</v>
      </c>
      <c r="AB42" s="203">
        <f t="shared" si="108"/>
        <v>0</v>
      </c>
      <c r="AC42" s="206">
        <f t="shared" si="120"/>
        <v>800</v>
      </c>
      <c r="AD42" s="6">
        <f>'Ενεργές συνδέσεις'!AD42</f>
        <v>800</v>
      </c>
      <c r="AE42" s="6">
        <f>'Ενεργές συνδέσεις'!AE42</f>
        <v>0</v>
      </c>
      <c r="AF42" s="167">
        <f t="shared" si="109"/>
        <v>800</v>
      </c>
      <c r="AG42" s="190">
        <f t="shared" si="110"/>
        <v>0</v>
      </c>
      <c r="AH42" s="206">
        <f t="shared" si="121"/>
        <v>748</v>
      </c>
      <c r="AI42" s="6">
        <f>'Ενεργές συνδέσεις'!AI42</f>
        <v>748</v>
      </c>
      <c r="AJ42" s="6">
        <f>'Ενεργές συνδέσεις'!AJ42</f>
        <v>0</v>
      </c>
      <c r="AK42" s="167">
        <f t="shared" si="111"/>
        <v>1548</v>
      </c>
      <c r="AL42" s="190">
        <f t="shared" si="112"/>
        <v>0.93500000000000005</v>
      </c>
      <c r="AM42" s="206">
        <f t="shared" si="122"/>
        <v>686</v>
      </c>
      <c r="AN42" s="6">
        <f>'Ενεργές συνδέσεις'!AN42</f>
        <v>686</v>
      </c>
      <c r="AO42" s="6">
        <f>'Ενεργές συνδέσεις'!AO42</f>
        <v>0</v>
      </c>
      <c r="AP42" s="167">
        <f t="shared" si="113"/>
        <v>2234</v>
      </c>
      <c r="AQ42" s="190">
        <f t="shared" si="114"/>
        <v>0.44315245478036175</v>
      </c>
      <c r="AR42" s="206">
        <f t="shared" si="123"/>
        <v>344</v>
      </c>
      <c r="AS42" s="6">
        <f>'Ενεργές συνδέσεις'!AS42</f>
        <v>344</v>
      </c>
      <c r="AT42" s="6">
        <f>'Ενεργές συνδέσεις'!AT42</f>
        <v>0</v>
      </c>
      <c r="AU42" s="167">
        <f t="shared" si="115"/>
        <v>2578</v>
      </c>
      <c r="AV42" s="190">
        <f t="shared" si="116"/>
        <v>0.15398388540734109</v>
      </c>
      <c r="AW42" s="198">
        <f t="shared" si="117"/>
        <v>2578</v>
      </c>
      <c r="AX42" s="199">
        <f t="shared" si="118"/>
        <v>0</v>
      </c>
    </row>
    <row r="43" spans="1:50" outlineLevel="1" x14ac:dyDescent="0.25">
      <c r="B43" s="52" t="s">
        <v>288</v>
      </c>
      <c r="C43" s="64" t="s">
        <v>22</v>
      </c>
      <c r="D43" s="71"/>
      <c r="E43" s="72"/>
      <c r="F43" s="71"/>
      <c r="G43" s="167">
        <f t="shared" si="97"/>
        <v>0</v>
      </c>
      <c r="H43" s="203">
        <f t="shared" si="98"/>
        <v>0</v>
      </c>
      <c r="I43" s="71"/>
      <c r="J43" s="167">
        <f t="shared" si="99"/>
        <v>0</v>
      </c>
      <c r="K43" s="203">
        <f t="shared" si="100"/>
        <v>0</v>
      </c>
      <c r="L43" s="71"/>
      <c r="M43" s="167">
        <f t="shared" si="101"/>
        <v>0</v>
      </c>
      <c r="N43" s="203">
        <f t="shared" si="102"/>
        <v>0</v>
      </c>
      <c r="O43" s="71">
        <f>'Ενεργές συνδέσεις'!O43</f>
        <v>0</v>
      </c>
      <c r="P43" s="33"/>
      <c r="Q43" s="157"/>
      <c r="R43" s="71">
        <f>'Ενεργές συνδέσεις'!R43</f>
        <v>0</v>
      </c>
      <c r="S43" s="167">
        <f t="shared" si="103"/>
        <v>0</v>
      </c>
      <c r="T43" s="203">
        <f t="shared" si="104"/>
        <v>0</v>
      </c>
      <c r="U43" s="198">
        <f t="shared" si="105"/>
        <v>0</v>
      </c>
      <c r="V43" s="199">
        <f t="shared" si="106"/>
        <v>0</v>
      </c>
      <c r="X43" s="206">
        <f t="shared" si="119"/>
        <v>195</v>
      </c>
      <c r="Y43" s="6">
        <f>'Ενεργές συνδέσεις'!Y43</f>
        <v>0</v>
      </c>
      <c r="Z43" s="6">
        <f>'Ενεργές συνδέσεις'!Z43</f>
        <v>195</v>
      </c>
      <c r="AA43" s="167">
        <f t="shared" si="107"/>
        <v>195</v>
      </c>
      <c r="AB43" s="203">
        <f t="shared" si="108"/>
        <v>0</v>
      </c>
      <c r="AC43" s="206">
        <f t="shared" si="120"/>
        <v>360</v>
      </c>
      <c r="AD43" s="6">
        <f>'Ενεργές συνδέσεις'!AD43</f>
        <v>360</v>
      </c>
      <c r="AE43" s="6">
        <f>'Ενεργές συνδέσεις'!AE43</f>
        <v>0</v>
      </c>
      <c r="AF43" s="167">
        <f t="shared" si="109"/>
        <v>555</v>
      </c>
      <c r="AG43" s="190">
        <f t="shared" si="110"/>
        <v>1.8461538461538463</v>
      </c>
      <c r="AH43" s="206">
        <f t="shared" si="121"/>
        <v>218</v>
      </c>
      <c r="AI43" s="6">
        <f>'Ενεργές συνδέσεις'!AI43</f>
        <v>218</v>
      </c>
      <c r="AJ43" s="6">
        <f>'Ενεργές συνδέσεις'!AJ43</f>
        <v>0</v>
      </c>
      <c r="AK43" s="167">
        <f t="shared" si="111"/>
        <v>773</v>
      </c>
      <c r="AL43" s="190">
        <f t="shared" si="112"/>
        <v>0.39279279279279278</v>
      </c>
      <c r="AM43" s="206">
        <f t="shared" si="122"/>
        <v>50</v>
      </c>
      <c r="AN43" s="6">
        <f>'Ενεργές συνδέσεις'!AN43</f>
        <v>50</v>
      </c>
      <c r="AO43" s="6">
        <f>'Ενεργές συνδέσεις'!AO43</f>
        <v>0</v>
      </c>
      <c r="AP43" s="167">
        <f t="shared" si="113"/>
        <v>823</v>
      </c>
      <c r="AQ43" s="190">
        <f t="shared" si="114"/>
        <v>6.4683053040103494E-2</v>
      </c>
      <c r="AR43" s="206">
        <f t="shared" si="123"/>
        <v>25</v>
      </c>
      <c r="AS43" s="6">
        <f>'Ενεργές συνδέσεις'!AS43</f>
        <v>25</v>
      </c>
      <c r="AT43" s="6">
        <f>'Ενεργές συνδέσεις'!AT43</f>
        <v>0</v>
      </c>
      <c r="AU43" s="167">
        <f t="shared" si="115"/>
        <v>848</v>
      </c>
      <c r="AV43" s="190">
        <f t="shared" si="116"/>
        <v>3.0376670716889428E-2</v>
      </c>
      <c r="AW43" s="198">
        <f t="shared" si="117"/>
        <v>848</v>
      </c>
      <c r="AX43" s="199">
        <f t="shared" si="118"/>
        <v>0.44407686448545358</v>
      </c>
    </row>
    <row r="44" spans="1:50" ht="16.5" customHeight="1" outlineLevel="1" x14ac:dyDescent="0.25">
      <c r="B44" s="52" t="s">
        <v>289</v>
      </c>
      <c r="C44" s="64" t="s">
        <v>22</v>
      </c>
      <c r="D44" s="71"/>
      <c r="E44" s="72"/>
      <c r="F44" s="71"/>
      <c r="G44" s="167">
        <f t="shared" si="97"/>
        <v>0</v>
      </c>
      <c r="H44" s="203">
        <f t="shared" si="98"/>
        <v>0</v>
      </c>
      <c r="I44" s="71"/>
      <c r="J44" s="167">
        <f t="shared" si="99"/>
        <v>0</v>
      </c>
      <c r="K44" s="203">
        <f t="shared" si="100"/>
        <v>0</v>
      </c>
      <c r="L44" s="71"/>
      <c r="M44" s="167">
        <f t="shared" si="101"/>
        <v>0</v>
      </c>
      <c r="N44" s="203">
        <f t="shared" si="102"/>
        <v>0</v>
      </c>
      <c r="O44" s="71">
        <f>'Ενεργές συνδέσεις'!O44</f>
        <v>0</v>
      </c>
      <c r="P44" s="33"/>
      <c r="Q44" s="157"/>
      <c r="R44" s="71">
        <f>'Ενεργές συνδέσεις'!R44</f>
        <v>0</v>
      </c>
      <c r="S44" s="167">
        <f t="shared" si="103"/>
        <v>0</v>
      </c>
      <c r="T44" s="203">
        <f t="shared" si="104"/>
        <v>0</v>
      </c>
      <c r="U44" s="198">
        <f t="shared" si="105"/>
        <v>0</v>
      </c>
      <c r="V44" s="199">
        <f t="shared" si="106"/>
        <v>0</v>
      </c>
      <c r="X44" s="206">
        <f t="shared" si="119"/>
        <v>274</v>
      </c>
      <c r="Y44" s="6">
        <f>'Ενεργές συνδέσεις'!Y44</f>
        <v>0</v>
      </c>
      <c r="Z44" s="6">
        <f>'Ενεργές συνδέσεις'!Z44</f>
        <v>274</v>
      </c>
      <c r="AA44" s="167">
        <f t="shared" si="107"/>
        <v>274</v>
      </c>
      <c r="AB44" s="203">
        <f t="shared" si="108"/>
        <v>0</v>
      </c>
      <c r="AC44" s="206">
        <f t="shared" si="120"/>
        <v>1449</v>
      </c>
      <c r="AD44" s="6">
        <f>'Ενεργές συνδέσεις'!AD44</f>
        <v>1449</v>
      </c>
      <c r="AE44" s="6">
        <f>'Ενεργές συνδέσεις'!AE44</f>
        <v>0</v>
      </c>
      <c r="AF44" s="167">
        <f t="shared" si="109"/>
        <v>1723</v>
      </c>
      <c r="AG44" s="190">
        <f t="shared" si="110"/>
        <v>5.288321167883212</v>
      </c>
      <c r="AH44" s="206">
        <f t="shared" si="121"/>
        <v>1050</v>
      </c>
      <c r="AI44" s="6">
        <f>'Ενεργές συνδέσεις'!AI44</f>
        <v>1050</v>
      </c>
      <c r="AJ44" s="6">
        <f>'Ενεργές συνδέσεις'!AJ44</f>
        <v>0</v>
      </c>
      <c r="AK44" s="167">
        <f t="shared" si="111"/>
        <v>2773</v>
      </c>
      <c r="AL44" s="190">
        <f t="shared" si="112"/>
        <v>0.60940220545560064</v>
      </c>
      <c r="AM44" s="206">
        <f t="shared" si="122"/>
        <v>1050</v>
      </c>
      <c r="AN44" s="6">
        <f>'Ενεργές συνδέσεις'!AN44</f>
        <v>1050</v>
      </c>
      <c r="AO44" s="6">
        <f>'Ενεργές συνδέσεις'!AO44</f>
        <v>0</v>
      </c>
      <c r="AP44" s="167">
        <f t="shared" si="113"/>
        <v>3823</v>
      </c>
      <c r="AQ44" s="190">
        <f t="shared" si="114"/>
        <v>0.37865128020194733</v>
      </c>
      <c r="AR44" s="206">
        <f t="shared" si="123"/>
        <v>525</v>
      </c>
      <c r="AS44" s="6">
        <f>'Ενεργές συνδέσεις'!AS44</f>
        <v>525</v>
      </c>
      <c r="AT44" s="6">
        <f>'Ενεργές συνδέσεις'!AT44</f>
        <v>0</v>
      </c>
      <c r="AU44" s="167">
        <f t="shared" si="115"/>
        <v>4348</v>
      </c>
      <c r="AV44" s="190">
        <f t="shared" si="116"/>
        <v>0.1373267067747842</v>
      </c>
      <c r="AW44" s="198">
        <f t="shared" si="117"/>
        <v>4348</v>
      </c>
      <c r="AX44" s="199">
        <f t="shared" si="118"/>
        <v>0.99588145623801028</v>
      </c>
    </row>
    <row r="45" spans="1:50" ht="16.5" customHeight="1" outlineLevel="1" x14ac:dyDescent="0.25">
      <c r="B45" s="52" t="s">
        <v>290</v>
      </c>
      <c r="C45" s="64" t="s">
        <v>22</v>
      </c>
      <c r="D45" s="71"/>
      <c r="E45" s="72"/>
      <c r="F45" s="71"/>
      <c r="G45" s="167">
        <f t="shared" ref="G45" si="124">E45+F45</f>
        <v>0</v>
      </c>
      <c r="H45" s="203">
        <f t="shared" ref="H45" si="125">IFERROR((G45-E45)/E45,0)</f>
        <v>0</v>
      </c>
      <c r="I45" s="71"/>
      <c r="J45" s="167">
        <f t="shared" ref="J45" si="126">G45+I45</f>
        <v>0</v>
      </c>
      <c r="K45" s="203">
        <f t="shared" ref="K45" si="127">IFERROR((J45-G45)/G45,0)</f>
        <v>0</v>
      </c>
      <c r="L45" s="71"/>
      <c r="M45" s="167">
        <f t="shared" ref="M45" si="128">J45+L45</f>
        <v>0</v>
      </c>
      <c r="N45" s="203">
        <f t="shared" ref="N45" si="129">IFERROR((M45-J45)/J45,0)</f>
        <v>0</v>
      </c>
      <c r="O45" s="71">
        <f>'Ενεργές συνδέσεις'!O45</f>
        <v>0</v>
      </c>
      <c r="P45" s="33"/>
      <c r="Q45" s="157"/>
      <c r="R45" s="71">
        <f>'Ενεργές συνδέσεις'!R45</f>
        <v>0</v>
      </c>
      <c r="S45" s="167">
        <f t="shared" ref="S45" si="130">M45+R45</f>
        <v>0</v>
      </c>
      <c r="T45" s="203">
        <f t="shared" ref="T45" si="131">IFERROR((S45-M45)/M45,0)</f>
        <v>0</v>
      </c>
      <c r="U45" s="198">
        <f t="shared" ref="U45" si="132">D45+F45+I45+L45+R45</f>
        <v>0</v>
      </c>
      <c r="V45" s="199">
        <f t="shared" ref="V45" si="133">IFERROR((S45/E45)^(1/4)-1,0)</f>
        <v>0</v>
      </c>
      <c r="X45" s="206">
        <f t="shared" ref="X45" si="134">Y45+Z45</f>
        <v>362</v>
      </c>
      <c r="Y45" s="6">
        <f>'Ενεργές συνδέσεις'!Y45</f>
        <v>0</v>
      </c>
      <c r="Z45" s="6">
        <f>'Ενεργές συνδέσεις'!Z45</f>
        <v>362</v>
      </c>
      <c r="AA45" s="167">
        <f t="shared" ref="AA45" si="135">S45+X45</f>
        <v>362</v>
      </c>
      <c r="AB45" s="203">
        <f t="shared" ref="AB45" si="136">IFERROR((AA45-S45)/S45,0)</f>
        <v>0</v>
      </c>
      <c r="AC45" s="206">
        <f t="shared" ref="AC45" si="137">AD45+AE45</f>
        <v>1399</v>
      </c>
      <c r="AD45" s="6">
        <f>'Ενεργές συνδέσεις'!AD45</f>
        <v>1399</v>
      </c>
      <c r="AE45" s="6">
        <f>'Ενεργές συνδέσεις'!AE45</f>
        <v>0</v>
      </c>
      <c r="AF45" s="167">
        <f t="shared" ref="AF45" si="138">AA45+AC45</f>
        <v>1761</v>
      </c>
      <c r="AG45" s="190">
        <f t="shared" ref="AG45" si="139">IFERROR((AF45-AA45)/AA45,0)</f>
        <v>3.8646408839779007</v>
      </c>
      <c r="AH45" s="206">
        <f t="shared" ref="AH45" si="140">AI45+AJ45</f>
        <v>1229</v>
      </c>
      <c r="AI45" s="6">
        <f>'Ενεργές συνδέσεις'!AI45</f>
        <v>1229</v>
      </c>
      <c r="AJ45" s="6">
        <f>'Ενεργές συνδέσεις'!AJ45</f>
        <v>0</v>
      </c>
      <c r="AK45" s="167">
        <f t="shared" ref="AK45" si="141">AF45+AH45</f>
        <v>2990</v>
      </c>
      <c r="AL45" s="190">
        <f t="shared" ref="AL45" si="142">IFERROR((AK45-AF45)/AF45,0)</f>
        <v>0.69789892106757523</v>
      </c>
      <c r="AM45" s="206">
        <f t="shared" ref="AM45" si="143">AN45+AO45</f>
        <v>1050</v>
      </c>
      <c r="AN45" s="6">
        <f>'Ενεργές συνδέσεις'!AN45</f>
        <v>1050</v>
      </c>
      <c r="AO45" s="6">
        <f>'Ενεργές συνδέσεις'!AO45</f>
        <v>0</v>
      </c>
      <c r="AP45" s="167">
        <f t="shared" ref="AP45" si="144">AK45+AM45</f>
        <v>4040</v>
      </c>
      <c r="AQ45" s="190">
        <f t="shared" ref="AQ45" si="145">IFERROR((AP45-AK45)/AK45,0)</f>
        <v>0.3511705685618729</v>
      </c>
      <c r="AR45" s="206">
        <f t="shared" ref="AR45" si="146">AS45+AT45</f>
        <v>525</v>
      </c>
      <c r="AS45" s="6">
        <f>'Ενεργές συνδέσεις'!AS45</f>
        <v>525</v>
      </c>
      <c r="AT45" s="6">
        <f>'Ενεργές συνδέσεις'!AT45</f>
        <v>0</v>
      </c>
      <c r="AU45" s="167">
        <f t="shared" ref="AU45" si="147">AP45+AR45</f>
        <v>4565</v>
      </c>
      <c r="AV45" s="190">
        <f t="shared" ref="AV45" si="148">IFERROR((AU45-AP45)/AP45,0)</f>
        <v>0.12995049504950495</v>
      </c>
      <c r="AW45" s="198">
        <f t="shared" ref="AW45" si="149">X45+AC45+AH45+AM45+AR45</f>
        <v>4565</v>
      </c>
      <c r="AX45" s="199">
        <f t="shared" ref="AX45" si="150">IFERROR((AU45/AA45)^(1/4)-1,0)</f>
        <v>0.88444320499540141</v>
      </c>
    </row>
    <row r="46" spans="1:50" ht="16.5" customHeight="1" outlineLevel="1" x14ac:dyDescent="0.25">
      <c r="B46" s="52" t="s">
        <v>291</v>
      </c>
      <c r="C46" s="64" t="s">
        <v>22</v>
      </c>
      <c r="D46" s="71"/>
      <c r="E46" s="72"/>
      <c r="F46" s="71"/>
      <c r="G46" s="167">
        <f t="shared" si="97"/>
        <v>0</v>
      </c>
      <c r="H46" s="203">
        <f t="shared" si="98"/>
        <v>0</v>
      </c>
      <c r="I46" s="71"/>
      <c r="J46" s="167">
        <f t="shared" si="99"/>
        <v>0</v>
      </c>
      <c r="K46" s="203">
        <f t="shared" si="100"/>
        <v>0</v>
      </c>
      <c r="L46" s="71"/>
      <c r="M46" s="167">
        <f t="shared" si="101"/>
        <v>0</v>
      </c>
      <c r="N46" s="203">
        <f t="shared" si="102"/>
        <v>0</v>
      </c>
      <c r="O46" s="71">
        <f>'Ενεργές συνδέσεις'!O46</f>
        <v>37</v>
      </c>
      <c r="P46" s="33"/>
      <c r="Q46" s="157"/>
      <c r="R46" s="71">
        <f>'Ενεργές συνδέσεις'!R46</f>
        <v>1158</v>
      </c>
      <c r="S46" s="167">
        <f t="shared" si="103"/>
        <v>1158</v>
      </c>
      <c r="T46" s="203">
        <f t="shared" si="104"/>
        <v>0</v>
      </c>
      <c r="U46" s="198">
        <f t="shared" si="105"/>
        <v>1158</v>
      </c>
      <c r="V46" s="199">
        <f t="shared" si="106"/>
        <v>0</v>
      </c>
      <c r="X46" s="206">
        <f t="shared" si="119"/>
        <v>147</v>
      </c>
      <c r="Y46" s="6">
        <f>'Ενεργές συνδέσεις'!Y46</f>
        <v>147</v>
      </c>
      <c r="Z46" s="6">
        <f>'Ενεργές συνδέσεις'!Z46</f>
        <v>0</v>
      </c>
      <c r="AA46" s="167">
        <f t="shared" si="107"/>
        <v>1305</v>
      </c>
      <c r="AB46" s="203">
        <f t="shared" si="108"/>
        <v>0.12694300518134716</v>
      </c>
      <c r="AC46" s="206">
        <f t="shared" si="120"/>
        <v>111</v>
      </c>
      <c r="AD46" s="6">
        <f>'Ενεργές συνδέσεις'!AD46</f>
        <v>111</v>
      </c>
      <c r="AE46" s="6">
        <f>'Ενεργές συνδέσεις'!AE46</f>
        <v>0</v>
      </c>
      <c r="AF46" s="167">
        <f t="shared" si="109"/>
        <v>1416</v>
      </c>
      <c r="AG46" s="190">
        <f t="shared" si="110"/>
        <v>8.5057471264367815E-2</v>
      </c>
      <c r="AH46" s="206">
        <f t="shared" si="121"/>
        <v>25</v>
      </c>
      <c r="AI46" s="6">
        <f>'Ενεργές συνδέσεις'!AI46</f>
        <v>25</v>
      </c>
      <c r="AJ46" s="6">
        <f>'Ενεργές συνδέσεις'!AJ46</f>
        <v>0</v>
      </c>
      <c r="AK46" s="167">
        <f t="shared" si="111"/>
        <v>1441</v>
      </c>
      <c r="AL46" s="190">
        <f t="shared" si="112"/>
        <v>1.7655367231638418E-2</v>
      </c>
      <c r="AM46" s="206">
        <f t="shared" si="122"/>
        <v>25</v>
      </c>
      <c r="AN46" s="6">
        <f>'Ενεργές συνδέσεις'!AN46</f>
        <v>25</v>
      </c>
      <c r="AO46" s="6">
        <f>'Ενεργές συνδέσεις'!AO46</f>
        <v>0</v>
      </c>
      <c r="AP46" s="167">
        <f t="shared" si="113"/>
        <v>1466</v>
      </c>
      <c r="AQ46" s="190">
        <f t="shared" si="114"/>
        <v>1.7349063150589868E-2</v>
      </c>
      <c r="AR46" s="206">
        <f t="shared" si="123"/>
        <v>17</v>
      </c>
      <c r="AS46" s="6">
        <f>'Ενεργές συνδέσεις'!AS46</f>
        <v>17</v>
      </c>
      <c r="AT46" s="6">
        <f>'Ενεργές συνδέσεις'!AT46</f>
        <v>0</v>
      </c>
      <c r="AU46" s="167">
        <f t="shared" si="115"/>
        <v>1483</v>
      </c>
      <c r="AV46" s="190">
        <f t="shared" si="116"/>
        <v>1.1596180081855388E-2</v>
      </c>
      <c r="AW46" s="198">
        <f t="shared" si="117"/>
        <v>325</v>
      </c>
      <c r="AX46" s="199">
        <f t="shared" si="118"/>
        <v>3.2482406083759185E-2</v>
      </c>
    </row>
    <row r="47" spans="1:50" ht="16.5" customHeight="1" outlineLevel="1" x14ac:dyDescent="0.25">
      <c r="B47" s="52" t="s">
        <v>307</v>
      </c>
      <c r="C47" s="64"/>
      <c r="D47" s="71"/>
      <c r="E47" s="72"/>
      <c r="F47" s="71"/>
      <c r="G47" s="167"/>
      <c r="H47" s="203">
        <f t="shared" si="98"/>
        <v>0</v>
      </c>
      <c r="I47" s="71"/>
      <c r="J47" s="167"/>
      <c r="K47" s="203">
        <f t="shared" si="100"/>
        <v>0</v>
      </c>
      <c r="L47" s="71"/>
      <c r="M47" s="167"/>
      <c r="N47" s="203">
        <f t="shared" si="102"/>
        <v>0</v>
      </c>
      <c r="O47" s="71"/>
      <c r="P47" s="33"/>
      <c r="Q47" s="157"/>
      <c r="R47" s="71"/>
      <c r="S47" s="167"/>
      <c r="T47" s="203">
        <f t="shared" si="104"/>
        <v>0</v>
      </c>
      <c r="U47" s="198">
        <f t="shared" si="105"/>
        <v>0</v>
      </c>
      <c r="V47" s="199">
        <f t="shared" si="106"/>
        <v>0</v>
      </c>
      <c r="X47" s="206">
        <f t="shared" ref="X47:X51" si="151">Y47+Z47</f>
        <v>55</v>
      </c>
      <c r="Y47" s="6">
        <f>'Ενεργές συνδέσεις'!Y47</f>
        <v>0</v>
      </c>
      <c r="Z47" s="6">
        <f>'Ενεργές συνδέσεις'!Z47</f>
        <v>55</v>
      </c>
      <c r="AA47" s="167">
        <f t="shared" ref="AA47:AA51" si="152">S47+X47</f>
        <v>55</v>
      </c>
      <c r="AB47" s="203">
        <f t="shared" ref="AB47:AB51" si="153">IFERROR((AA47-S47)/S47,0)</f>
        <v>0</v>
      </c>
      <c r="AC47" s="206">
        <f t="shared" ref="AC47:AC51" si="154">AD47+AE47</f>
        <v>85</v>
      </c>
      <c r="AD47" s="6">
        <f>'Ενεργές συνδέσεις'!AD47</f>
        <v>85</v>
      </c>
      <c r="AE47" s="6">
        <f>'Ενεργές συνδέσεις'!AE47</f>
        <v>0</v>
      </c>
      <c r="AF47" s="167">
        <f t="shared" ref="AF47:AF51" si="155">AA47+AC47</f>
        <v>140</v>
      </c>
      <c r="AG47" s="190">
        <f t="shared" ref="AG47:AG51" si="156">IFERROR((AF47-AA47)/AA47,0)</f>
        <v>1.5454545454545454</v>
      </c>
      <c r="AH47" s="206">
        <f t="shared" ref="AH47:AH51" si="157">AI47+AJ47</f>
        <v>90</v>
      </c>
      <c r="AI47" s="6">
        <f>'Ενεργές συνδέσεις'!AI47</f>
        <v>90</v>
      </c>
      <c r="AJ47" s="6">
        <f>'Ενεργές συνδέσεις'!AJ47</f>
        <v>0</v>
      </c>
      <c r="AK47" s="167">
        <f t="shared" ref="AK47:AK51" si="158">AF47+AH47</f>
        <v>230</v>
      </c>
      <c r="AL47" s="190">
        <f t="shared" ref="AL47:AL51" si="159">IFERROR((AK47-AF47)/AF47,0)</f>
        <v>0.6428571428571429</v>
      </c>
      <c r="AM47" s="206">
        <f t="shared" ref="AM47:AM51" si="160">AN47+AO47</f>
        <v>55</v>
      </c>
      <c r="AN47" s="6">
        <f>'Ενεργές συνδέσεις'!AN47</f>
        <v>55</v>
      </c>
      <c r="AO47" s="6">
        <f>'Ενεργές συνδέσεις'!AO47</f>
        <v>0</v>
      </c>
      <c r="AP47" s="167">
        <f t="shared" ref="AP47:AP51" si="161">AK47+AM47</f>
        <v>285</v>
      </c>
      <c r="AQ47" s="190">
        <f t="shared" ref="AQ47:AQ51" si="162">IFERROR((AP47-AK47)/AK47,0)</f>
        <v>0.2391304347826087</v>
      </c>
      <c r="AR47" s="206">
        <f t="shared" ref="AR47:AR51" si="163">AS47+AT47</f>
        <v>45</v>
      </c>
      <c r="AS47" s="6">
        <f>'Ενεργές συνδέσεις'!AS47</f>
        <v>45</v>
      </c>
      <c r="AT47" s="6">
        <f>'Ενεργές συνδέσεις'!AT47</f>
        <v>0</v>
      </c>
      <c r="AU47" s="167">
        <f t="shared" ref="AU47:AU51" si="164">AP47+AR47</f>
        <v>330</v>
      </c>
      <c r="AV47" s="190">
        <f t="shared" ref="AV47:AV51" si="165">IFERROR((AU47-AP47)/AP47,0)</f>
        <v>0.15789473684210525</v>
      </c>
      <c r="AW47" s="198">
        <f t="shared" ref="AW47:AW51" si="166">X47+AC47+AH47+AM47+AR47</f>
        <v>330</v>
      </c>
      <c r="AX47" s="199">
        <f t="shared" si="118"/>
        <v>0.56508458007328732</v>
      </c>
    </row>
    <row r="48" spans="1:50" ht="16.5" customHeight="1" outlineLevel="1" x14ac:dyDescent="0.25">
      <c r="B48" s="52" t="s">
        <v>304</v>
      </c>
      <c r="C48" s="64"/>
      <c r="D48" s="71"/>
      <c r="E48" s="72"/>
      <c r="F48" s="71"/>
      <c r="G48" s="167"/>
      <c r="H48" s="203">
        <f t="shared" si="98"/>
        <v>0</v>
      </c>
      <c r="I48" s="71"/>
      <c r="J48" s="167"/>
      <c r="K48" s="203">
        <f t="shared" si="100"/>
        <v>0</v>
      </c>
      <c r="L48" s="71"/>
      <c r="M48" s="167"/>
      <c r="N48" s="203">
        <f t="shared" si="102"/>
        <v>0</v>
      </c>
      <c r="O48" s="71"/>
      <c r="P48" s="33"/>
      <c r="Q48" s="157"/>
      <c r="R48" s="71"/>
      <c r="S48" s="167"/>
      <c r="T48" s="203">
        <f t="shared" si="104"/>
        <v>0</v>
      </c>
      <c r="U48" s="198">
        <f t="shared" si="105"/>
        <v>0</v>
      </c>
      <c r="V48" s="199">
        <f t="shared" si="106"/>
        <v>0</v>
      </c>
      <c r="X48" s="206">
        <f t="shared" si="151"/>
        <v>55</v>
      </c>
      <c r="Y48" s="6">
        <f>'Ενεργές συνδέσεις'!Y48</f>
        <v>0</v>
      </c>
      <c r="Z48" s="6">
        <f>'Ενεργές συνδέσεις'!Z48</f>
        <v>55</v>
      </c>
      <c r="AA48" s="167">
        <f t="shared" si="152"/>
        <v>55</v>
      </c>
      <c r="AB48" s="203">
        <f t="shared" si="153"/>
        <v>0</v>
      </c>
      <c r="AC48" s="206">
        <f t="shared" si="154"/>
        <v>85</v>
      </c>
      <c r="AD48" s="6">
        <f>'Ενεργές συνδέσεις'!AD48</f>
        <v>85</v>
      </c>
      <c r="AE48" s="6">
        <f>'Ενεργές συνδέσεις'!AE48</f>
        <v>0</v>
      </c>
      <c r="AF48" s="167">
        <f t="shared" si="155"/>
        <v>140</v>
      </c>
      <c r="AG48" s="190">
        <f t="shared" si="156"/>
        <v>1.5454545454545454</v>
      </c>
      <c r="AH48" s="206">
        <f t="shared" si="157"/>
        <v>140</v>
      </c>
      <c r="AI48" s="6">
        <f>'Ενεργές συνδέσεις'!AI48</f>
        <v>140</v>
      </c>
      <c r="AJ48" s="6">
        <f>'Ενεργές συνδέσεις'!AJ48</f>
        <v>0</v>
      </c>
      <c r="AK48" s="167">
        <f t="shared" si="158"/>
        <v>280</v>
      </c>
      <c r="AL48" s="190">
        <f t="shared" si="159"/>
        <v>1</v>
      </c>
      <c r="AM48" s="206">
        <f t="shared" si="160"/>
        <v>65</v>
      </c>
      <c r="AN48" s="6">
        <f>'Ενεργές συνδέσεις'!AN48</f>
        <v>65</v>
      </c>
      <c r="AO48" s="6">
        <f>'Ενεργές συνδέσεις'!AO48</f>
        <v>0</v>
      </c>
      <c r="AP48" s="167">
        <f t="shared" si="161"/>
        <v>345</v>
      </c>
      <c r="AQ48" s="190">
        <f t="shared" si="162"/>
        <v>0.23214285714285715</v>
      </c>
      <c r="AR48" s="206">
        <f t="shared" si="163"/>
        <v>45</v>
      </c>
      <c r="AS48" s="6">
        <f>'Ενεργές συνδέσεις'!AS48</f>
        <v>45</v>
      </c>
      <c r="AT48" s="6">
        <f>'Ενεργές συνδέσεις'!AT48</f>
        <v>0</v>
      </c>
      <c r="AU48" s="167">
        <f t="shared" si="164"/>
        <v>390</v>
      </c>
      <c r="AV48" s="190">
        <f t="shared" si="165"/>
        <v>0.13043478260869565</v>
      </c>
      <c r="AW48" s="198">
        <f t="shared" si="166"/>
        <v>390</v>
      </c>
      <c r="AX48" s="199">
        <f t="shared" si="118"/>
        <v>0.63183212794569754</v>
      </c>
    </row>
    <row r="49" spans="1:50" ht="16.5" customHeight="1" outlineLevel="1" x14ac:dyDescent="0.25">
      <c r="B49" s="52" t="s">
        <v>305</v>
      </c>
      <c r="C49" s="64"/>
      <c r="D49" s="71"/>
      <c r="E49" s="72"/>
      <c r="F49" s="71"/>
      <c r="G49" s="167"/>
      <c r="H49" s="203">
        <f t="shared" si="98"/>
        <v>0</v>
      </c>
      <c r="I49" s="71"/>
      <c r="J49" s="167"/>
      <c r="K49" s="203">
        <f t="shared" si="100"/>
        <v>0</v>
      </c>
      <c r="L49" s="71"/>
      <c r="M49" s="167"/>
      <c r="N49" s="203">
        <f t="shared" si="102"/>
        <v>0</v>
      </c>
      <c r="O49" s="71"/>
      <c r="P49" s="33"/>
      <c r="Q49" s="157"/>
      <c r="R49" s="71"/>
      <c r="S49" s="167"/>
      <c r="T49" s="203">
        <f t="shared" si="104"/>
        <v>0</v>
      </c>
      <c r="U49" s="198">
        <f t="shared" si="105"/>
        <v>0</v>
      </c>
      <c r="V49" s="199">
        <f t="shared" si="106"/>
        <v>0</v>
      </c>
      <c r="X49" s="206">
        <f t="shared" si="151"/>
        <v>55</v>
      </c>
      <c r="Y49" s="6">
        <f>'Ενεργές συνδέσεις'!Y49</f>
        <v>0</v>
      </c>
      <c r="Z49" s="6">
        <f>'Ενεργές συνδέσεις'!Z49</f>
        <v>55</v>
      </c>
      <c r="AA49" s="167">
        <f t="shared" si="152"/>
        <v>55</v>
      </c>
      <c r="AB49" s="203">
        <f t="shared" si="153"/>
        <v>0</v>
      </c>
      <c r="AC49" s="206">
        <f t="shared" si="154"/>
        <v>85</v>
      </c>
      <c r="AD49" s="6">
        <f>'Ενεργές συνδέσεις'!AD49</f>
        <v>85</v>
      </c>
      <c r="AE49" s="6">
        <f>'Ενεργές συνδέσεις'!AE49</f>
        <v>0</v>
      </c>
      <c r="AF49" s="167">
        <f t="shared" si="155"/>
        <v>140</v>
      </c>
      <c r="AG49" s="190">
        <f t="shared" si="156"/>
        <v>1.5454545454545454</v>
      </c>
      <c r="AH49" s="206">
        <f t="shared" si="157"/>
        <v>120</v>
      </c>
      <c r="AI49" s="6">
        <f>'Ενεργές συνδέσεις'!AI49</f>
        <v>120</v>
      </c>
      <c r="AJ49" s="6">
        <f>'Ενεργές συνδέσεις'!AJ49</f>
        <v>0</v>
      </c>
      <c r="AK49" s="167">
        <f t="shared" si="158"/>
        <v>260</v>
      </c>
      <c r="AL49" s="190">
        <f t="shared" si="159"/>
        <v>0.8571428571428571</v>
      </c>
      <c r="AM49" s="206">
        <f t="shared" si="160"/>
        <v>55</v>
      </c>
      <c r="AN49" s="6">
        <f>'Ενεργές συνδέσεις'!AN49</f>
        <v>55</v>
      </c>
      <c r="AO49" s="6">
        <f>'Ενεργές συνδέσεις'!AO49</f>
        <v>0</v>
      </c>
      <c r="AP49" s="167">
        <f t="shared" si="161"/>
        <v>315</v>
      </c>
      <c r="AQ49" s="190">
        <f t="shared" si="162"/>
        <v>0.21153846153846154</v>
      </c>
      <c r="AR49" s="206">
        <f t="shared" si="163"/>
        <v>45</v>
      </c>
      <c r="AS49" s="6">
        <f>'Ενεργές συνδέσεις'!AS49</f>
        <v>45</v>
      </c>
      <c r="AT49" s="6">
        <f>'Ενεργές συνδέσεις'!AT49</f>
        <v>0</v>
      </c>
      <c r="AU49" s="167">
        <f t="shared" si="164"/>
        <v>360</v>
      </c>
      <c r="AV49" s="190">
        <f t="shared" si="165"/>
        <v>0.14285714285714285</v>
      </c>
      <c r="AW49" s="198">
        <f t="shared" si="166"/>
        <v>360</v>
      </c>
      <c r="AX49" s="199">
        <f t="shared" si="118"/>
        <v>0.59950260902173125</v>
      </c>
    </row>
    <row r="50" spans="1:50" ht="16.5" customHeight="1" outlineLevel="1" x14ac:dyDescent="0.25">
      <c r="B50" s="52" t="s">
        <v>306</v>
      </c>
      <c r="C50" s="64"/>
      <c r="D50" s="71"/>
      <c r="E50" s="72"/>
      <c r="F50" s="71"/>
      <c r="G50" s="167"/>
      <c r="H50" s="203">
        <f t="shared" si="98"/>
        <v>0</v>
      </c>
      <c r="I50" s="71"/>
      <c r="J50" s="167"/>
      <c r="K50" s="203">
        <f t="shared" si="100"/>
        <v>0</v>
      </c>
      <c r="L50" s="71"/>
      <c r="M50" s="167"/>
      <c r="N50" s="203">
        <f t="shared" si="102"/>
        <v>0</v>
      </c>
      <c r="O50" s="71"/>
      <c r="P50" s="33"/>
      <c r="Q50" s="157"/>
      <c r="R50" s="71"/>
      <c r="S50" s="167"/>
      <c r="T50" s="203">
        <f t="shared" si="104"/>
        <v>0</v>
      </c>
      <c r="U50" s="198">
        <f t="shared" si="105"/>
        <v>0</v>
      </c>
      <c r="V50" s="199">
        <f t="shared" si="106"/>
        <v>0</v>
      </c>
      <c r="X50" s="206">
        <f t="shared" si="151"/>
        <v>106</v>
      </c>
      <c r="Y50" s="6">
        <f>'Ενεργές συνδέσεις'!Y50</f>
        <v>106</v>
      </c>
      <c r="Z50" s="6">
        <f>'Ενεργές συνδέσεις'!Z50</f>
        <v>0</v>
      </c>
      <c r="AA50" s="167">
        <f t="shared" si="152"/>
        <v>106</v>
      </c>
      <c r="AB50" s="203">
        <f t="shared" si="153"/>
        <v>0</v>
      </c>
      <c r="AC50" s="206">
        <f t="shared" si="154"/>
        <v>124</v>
      </c>
      <c r="AD50" s="6">
        <f>'Ενεργές συνδέσεις'!AD50</f>
        <v>124</v>
      </c>
      <c r="AE50" s="6">
        <f>'Ενεργές συνδέσεις'!AE50</f>
        <v>0</v>
      </c>
      <c r="AF50" s="167">
        <f t="shared" si="155"/>
        <v>230</v>
      </c>
      <c r="AG50" s="190">
        <f t="shared" si="156"/>
        <v>1.1698113207547169</v>
      </c>
      <c r="AH50" s="206">
        <f t="shared" si="157"/>
        <v>162</v>
      </c>
      <c r="AI50" s="6">
        <f>'Ενεργές συνδέσεις'!AI50</f>
        <v>162</v>
      </c>
      <c r="AJ50" s="6">
        <f>'Ενεργές συνδέσεις'!AJ50</f>
        <v>0</v>
      </c>
      <c r="AK50" s="167">
        <f t="shared" si="158"/>
        <v>392</v>
      </c>
      <c r="AL50" s="190">
        <f t="shared" si="159"/>
        <v>0.70434782608695656</v>
      </c>
      <c r="AM50" s="206">
        <f t="shared" si="160"/>
        <v>159</v>
      </c>
      <c r="AN50" s="6">
        <f>'Ενεργές συνδέσεις'!AN50</f>
        <v>159</v>
      </c>
      <c r="AO50" s="6">
        <f>'Ενεργές συνδέσεις'!AO50</f>
        <v>0</v>
      </c>
      <c r="AP50" s="167">
        <f t="shared" si="161"/>
        <v>551</v>
      </c>
      <c r="AQ50" s="190">
        <f t="shared" si="162"/>
        <v>0.40561224489795916</v>
      </c>
      <c r="AR50" s="206">
        <f t="shared" si="163"/>
        <v>100</v>
      </c>
      <c r="AS50" s="6">
        <f>'Ενεργές συνδέσεις'!AS50</f>
        <v>100</v>
      </c>
      <c r="AT50" s="6">
        <f>'Ενεργές συνδέσεις'!AT50</f>
        <v>0</v>
      </c>
      <c r="AU50" s="167">
        <f t="shared" si="164"/>
        <v>651</v>
      </c>
      <c r="AV50" s="190">
        <f t="shared" si="165"/>
        <v>0.18148820326678766</v>
      </c>
      <c r="AW50" s="198">
        <f t="shared" si="166"/>
        <v>651</v>
      </c>
      <c r="AX50" s="199">
        <f t="shared" si="118"/>
        <v>0.57423216170350977</v>
      </c>
    </row>
    <row r="51" spans="1:50" ht="16.5" customHeight="1" outlineLevel="1" x14ac:dyDescent="0.25">
      <c r="B51" s="52" t="s">
        <v>308</v>
      </c>
      <c r="C51" s="64"/>
      <c r="D51" s="71"/>
      <c r="E51" s="72"/>
      <c r="F51" s="71"/>
      <c r="G51" s="167"/>
      <c r="H51" s="203">
        <f t="shared" si="98"/>
        <v>0</v>
      </c>
      <c r="I51" s="71"/>
      <c r="J51" s="167"/>
      <c r="K51" s="203">
        <f t="shared" si="100"/>
        <v>0</v>
      </c>
      <c r="L51" s="71"/>
      <c r="M51" s="167"/>
      <c r="N51" s="203">
        <f t="shared" si="102"/>
        <v>0</v>
      </c>
      <c r="O51" s="71"/>
      <c r="P51" s="33"/>
      <c r="Q51" s="157"/>
      <c r="R51" s="71"/>
      <c r="S51" s="167"/>
      <c r="T51" s="203">
        <f t="shared" si="104"/>
        <v>0</v>
      </c>
      <c r="U51" s="198">
        <f t="shared" si="105"/>
        <v>0</v>
      </c>
      <c r="V51" s="199">
        <f t="shared" si="106"/>
        <v>0</v>
      </c>
      <c r="X51" s="206">
        <f t="shared" si="151"/>
        <v>85</v>
      </c>
      <c r="Y51" s="6">
        <f>'Ενεργές συνδέσεις'!Y51</f>
        <v>0</v>
      </c>
      <c r="Z51" s="6">
        <f>'Ενεργές συνδέσεις'!Z51</f>
        <v>85</v>
      </c>
      <c r="AA51" s="167">
        <f t="shared" si="152"/>
        <v>85</v>
      </c>
      <c r="AB51" s="203">
        <f t="shared" si="153"/>
        <v>0</v>
      </c>
      <c r="AC51" s="206">
        <f t="shared" si="154"/>
        <v>100</v>
      </c>
      <c r="AD51" s="6">
        <f>'Ενεργές συνδέσεις'!AD51</f>
        <v>100</v>
      </c>
      <c r="AE51" s="6">
        <f>'Ενεργές συνδέσεις'!AE51</f>
        <v>0</v>
      </c>
      <c r="AF51" s="167">
        <f t="shared" si="155"/>
        <v>185</v>
      </c>
      <c r="AG51" s="190">
        <f t="shared" si="156"/>
        <v>1.1764705882352942</v>
      </c>
      <c r="AH51" s="206">
        <f t="shared" si="157"/>
        <v>122</v>
      </c>
      <c r="AI51" s="6">
        <f>'Ενεργές συνδέσεις'!AI51</f>
        <v>122</v>
      </c>
      <c r="AJ51" s="6">
        <f>'Ενεργές συνδέσεις'!AJ51</f>
        <v>0</v>
      </c>
      <c r="AK51" s="167">
        <f t="shared" si="158"/>
        <v>307</v>
      </c>
      <c r="AL51" s="190">
        <f t="shared" si="159"/>
        <v>0.6594594594594595</v>
      </c>
      <c r="AM51" s="206">
        <f t="shared" si="160"/>
        <v>100</v>
      </c>
      <c r="AN51" s="6">
        <f>'Ενεργές συνδέσεις'!AN51</f>
        <v>100</v>
      </c>
      <c r="AO51" s="6">
        <f>'Ενεργές συνδέσεις'!AO51</f>
        <v>0</v>
      </c>
      <c r="AP51" s="167">
        <f t="shared" si="161"/>
        <v>407</v>
      </c>
      <c r="AQ51" s="190">
        <f t="shared" si="162"/>
        <v>0.32573289902280128</v>
      </c>
      <c r="AR51" s="206">
        <f t="shared" si="163"/>
        <v>100</v>
      </c>
      <c r="AS51" s="6">
        <f>'Ενεργές συνδέσεις'!AS51</f>
        <v>100</v>
      </c>
      <c r="AT51" s="6">
        <f>'Ενεργές συνδέσεις'!AT51</f>
        <v>0</v>
      </c>
      <c r="AU51" s="167">
        <f t="shared" si="164"/>
        <v>507</v>
      </c>
      <c r="AV51" s="190">
        <f t="shared" si="165"/>
        <v>0.24570024570024571</v>
      </c>
      <c r="AW51" s="198">
        <f t="shared" si="166"/>
        <v>507</v>
      </c>
      <c r="AX51" s="199">
        <f t="shared" si="118"/>
        <v>0.56277789056285377</v>
      </c>
    </row>
    <row r="52" spans="1:50" ht="16.5" customHeight="1" outlineLevel="1" x14ac:dyDescent="0.25">
      <c r="B52" s="52"/>
      <c r="C52" s="64"/>
      <c r="D52" s="71"/>
      <c r="E52" s="72"/>
      <c r="F52" s="71"/>
      <c r="G52" s="167"/>
      <c r="H52" s="203">
        <f t="shared" si="98"/>
        <v>0</v>
      </c>
      <c r="I52" s="71"/>
      <c r="J52" s="167"/>
      <c r="K52" s="203">
        <f t="shared" si="100"/>
        <v>0</v>
      </c>
      <c r="L52" s="71"/>
      <c r="M52" s="167"/>
      <c r="N52" s="203">
        <f t="shared" si="102"/>
        <v>0</v>
      </c>
      <c r="O52" s="71"/>
      <c r="P52" s="33"/>
      <c r="Q52" s="157"/>
      <c r="R52" s="71"/>
      <c r="S52" s="167"/>
      <c r="T52" s="203">
        <f t="shared" si="104"/>
        <v>0</v>
      </c>
      <c r="U52" s="198">
        <f t="shared" si="105"/>
        <v>0</v>
      </c>
      <c r="V52" s="199">
        <f t="shared" si="106"/>
        <v>0</v>
      </c>
      <c r="X52" s="206"/>
      <c r="Y52" s="6"/>
      <c r="Z52" s="6"/>
      <c r="AA52" s="167"/>
      <c r="AB52" s="203">
        <f t="shared" si="108"/>
        <v>0</v>
      </c>
      <c r="AC52" s="206"/>
      <c r="AD52" s="6"/>
      <c r="AE52" s="6"/>
      <c r="AF52" s="167"/>
      <c r="AG52" s="190">
        <f t="shared" si="110"/>
        <v>0</v>
      </c>
      <c r="AH52" s="206"/>
      <c r="AI52" s="6"/>
      <c r="AJ52" s="6"/>
      <c r="AK52" s="167"/>
      <c r="AL52" s="190">
        <f t="shared" si="112"/>
        <v>0</v>
      </c>
      <c r="AM52" s="206"/>
      <c r="AN52" s="6"/>
      <c r="AO52" s="6"/>
      <c r="AP52" s="167"/>
      <c r="AQ52" s="190">
        <f t="shared" si="114"/>
        <v>0</v>
      </c>
      <c r="AR52" s="206"/>
      <c r="AS52" s="6"/>
      <c r="AT52" s="6"/>
      <c r="AU52" s="167"/>
      <c r="AV52" s="190">
        <f t="shared" si="116"/>
        <v>0</v>
      </c>
      <c r="AW52" s="198"/>
      <c r="AX52" s="199">
        <f t="shared" si="118"/>
        <v>0</v>
      </c>
    </row>
    <row r="53" spans="1:50" ht="15" customHeight="1" outlineLevel="1" x14ac:dyDescent="0.25">
      <c r="B53" s="349" t="s">
        <v>90</v>
      </c>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97"/>
    </row>
    <row r="54" spans="1:50" ht="15" customHeight="1" outlineLevel="1" x14ac:dyDescent="0.25">
      <c r="B54" s="52" t="s">
        <v>82</v>
      </c>
      <c r="C54" s="49" t="s">
        <v>22</v>
      </c>
      <c r="D54" s="207">
        <f>SUM(D38:D52)</f>
        <v>0</v>
      </c>
      <c r="E54" s="208">
        <f>SUM(E38:E52)</f>
        <v>0</v>
      </c>
      <c r="F54" s="207">
        <f>SUM(F38:F52)</f>
        <v>0</v>
      </c>
      <c r="G54" s="172">
        <f>SUM(G38:G52)</f>
        <v>0</v>
      </c>
      <c r="H54" s="202">
        <f>IFERROR((G54-E54)/E54,0)</f>
        <v>0</v>
      </c>
      <c r="I54" s="207">
        <f>SUM(I38:I52)</f>
        <v>0</v>
      </c>
      <c r="J54" s="172">
        <f>SUM(J38:J52)</f>
        <v>0</v>
      </c>
      <c r="K54" s="202">
        <f t="shared" si="100"/>
        <v>0</v>
      </c>
      <c r="L54" s="207">
        <f>SUM(L38:L52)</f>
        <v>0</v>
      </c>
      <c r="M54" s="172">
        <f>SUM(M38:M52)</f>
        <v>0</v>
      </c>
      <c r="N54" s="202">
        <f t="shared" si="102"/>
        <v>0</v>
      </c>
      <c r="O54" s="207">
        <f>SUM(O38:O52)</f>
        <v>63</v>
      </c>
      <c r="P54" s="158"/>
      <c r="Q54" s="159"/>
      <c r="R54" s="207">
        <f>SUM(R38:R52)</f>
        <v>1184</v>
      </c>
      <c r="S54" s="172">
        <f>SUM(S38:S52)</f>
        <v>1184</v>
      </c>
      <c r="T54" s="202">
        <f t="shared" si="104"/>
        <v>0</v>
      </c>
      <c r="U54" s="198">
        <f>D54+F54+I54+L54+R54</f>
        <v>1184</v>
      </c>
      <c r="V54" s="199">
        <f>IFERROR((S54/E54)^(1/4)-1,0)</f>
        <v>0</v>
      </c>
      <c r="X54" s="188">
        <f>SUM(X38:X52)</f>
        <v>2038</v>
      </c>
      <c r="Y54" s="187">
        <f>SUM(Y38:Y52)</f>
        <v>722</v>
      </c>
      <c r="Z54" s="187">
        <f>SUM(Z38:Z52)</f>
        <v>1316</v>
      </c>
      <c r="AA54" s="187">
        <f>SUM(AA38:AA52)</f>
        <v>3222</v>
      </c>
      <c r="AB54" s="202">
        <f>IFERROR((AA54-S54)/S54,0)</f>
        <v>1.7212837837837838</v>
      </c>
      <c r="AC54" s="188">
        <f>SUM(AC38:AC52)</f>
        <v>6368</v>
      </c>
      <c r="AD54" s="187">
        <f>SUM(AD38:AD52)</f>
        <v>6368</v>
      </c>
      <c r="AE54" s="187">
        <f>SUM(AE38:AE52)</f>
        <v>0</v>
      </c>
      <c r="AF54" s="187">
        <f>SUM(AF38:AF52)</f>
        <v>9590</v>
      </c>
      <c r="AG54" s="191">
        <f t="shared" si="110"/>
        <v>1.9764121663563003</v>
      </c>
      <c r="AH54" s="188">
        <f>SUM(AH38:AH52)</f>
        <v>5279</v>
      </c>
      <c r="AI54" s="187">
        <f>SUM(AI38:AI52)</f>
        <v>5279</v>
      </c>
      <c r="AJ54" s="187">
        <f>SUM(AJ38:AJ52)</f>
        <v>0</v>
      </c>
      <c r="AK54" s="187">
        <f>SUM(AK38:AK52)</f>
        <v>14869</v>
      </c>
      <c r="AL54" s="191">
        <f t="shared" si="112"/>
        <v>0.55046923879040666</v>
      </c>
      <c r="AM54" s="188">
        <f>SUM(AM38:AM52)</f>
        <v>3734</v>
      </c>
      <c r="AN54" s="187">
        <f>SUM(AN38:AN52)</f>
        <v>3734</v>
      </c>
      <c r="AO54" s="187">
        <f>SUM(AO38:AO52)</f>
        <v>0</v>
      </c>
      <c r="AP54" s="187">
        <f>SUM(AP38:AP52)</f>
        <v>18603</v>
      </c>
      <c r="AQ54" s="191">
        <f t="shared" si="114"/>
        <v>0.25112650480866233</v>
      </c>
      <c r="AR54" s="188">
        <f>SUM(AR38:AR52)</f>
        <v>1909</v>
      </c>
      <c r="AS54" s="187">
        <f>SUM(AS38:AS52)</f>
        <v>1909</v>
      </c>
      <c r="AT54" s="187">
        <f>SUM(AT38:AT52)</f>
        <v>0</v>
      </c>
      <c r="AU54" s="187">
        <f>SUM(AU38:AU52)</f>
        <v>20512</v>
      </c>
      <c r="AV54" s="191">
        <f t="shared" si="116"/>
        <v>0.10261785733483847</v>
      </c>
      <c r="AW54" s="188">
        <f>SUM(AW38:AW52)</f>
        <v>19328</v>
      </c>
      <c r="AX54" s="199">
        <f t="shared" si="118"/>
        <v>0.58843927958595832</v>
      </c>
    </row>
    <row r="55" spans="1:50" ht="15" customHeight="1" x14ac:dyDescent="0.25"/>
    <row r="56" spans="1:50" ht="15.75" x14ac:dyDescent="0.25">
      <c r="B56" s="352" t="s">
        <v>205</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row>
    <row r="57" spans="1:50" ht="5.45" customHeight="1" outlineLevel="1" x14ac:dyDescent="0.2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row>
    <row r="58" spans="1:50" outlineLevel="1" x14ac:dyDescent="0.25">
      <c r="B58" s="393"/>
      <c r="C58" s="396" t="s">
        <v>20</v>
      </c>
      <c r="D58" s="372" t="s">
        <v>262</v>
      </c>
      <c r="E58" s="373"/>
      <c r="F58" s="373"/>
      <c r="G58" s="373"/>
      <c r="H58" s="373"/>
      <c r="I58" s="373"/>
      <c r="J58" s="373"/>
      <c r="K58" s="373"/>
      <c r="L58" s="373"/>
      <c r="M58" s="373"/>
      <c r="N58" s="373"/>
      <c r="O58" s="373"/>
      <c r="P58" s="373"/>
      <c r="Q58" s="374"/>
      <c r="R58" s="372" t="s">
        <v>260</v>
      </c>
      <c r="S58" s="373"/>
      <c r="T58" s="374"/>
      <c r="U58" s="388" t="str">
        <f xml:space="preserve"> D59&amp;" - "&amp;R59</f>
        <v>2018 - 2022</v>
      </c>
      <c r="V58" s="398"/>
      <c r="X58" s="372" t="s">
        <v>261</v>
      </c>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0" outlineLevel="1" x14ac:dyDescent="0.25">
      <c r="B59" s="394"/>
      <c r="C59" s="396"/>
      <c r="D59" s="372">
        <f>$C$3-5</f>
        <v>2018</v>
      </c>
      <c r="E59" s="374"/>
      <c r="F59" s="372">
        <f>$C$3-4</f>
        <v>2019</v>
      </c>
      <c r="G59" s="373"/>
      <c r="H59" s="374"/>
      <c r="I59" s="372">
        <f>$C$3-3</f>
        <v>2020</v>
      </c>
      <c r="J59" s="373"/>
      <c r="K59" s="374"/>
      <c r="L59" s="372">
        <f>$C$3-2</f>
        <v>2021</v>
      </c>
      <c r="M59" s="373"/>
      <c r="N59" s="374"/>
      <c r="O59" s="372" t="str">
        <f>$C$3-1&amp;""&amp;" ("&amp;"Σεπτ"&amp;")"</f>
        <v>2022 (Σεπτ)</v>
      </c>
      <c r="P59" s="373"/>
      <c r="Q59" s="374"/>
      <c r="R59" s="372">
        <f>$C$3-1</f>
        <v>2022</v>
      </c>
      <c r="S59" s="373"/>
      <c r="T59" s="374"/>
      <c r="U59" s="390"/>
      <c r="V59" s="399"/>
      <c r="X59" s="372">
        <f>$C$3</f>
        <v>2023</v>
      </c>
      <c r="Y59" s="373"/>
      <c r="Z59" s="373"/>
      <c r="AA59" s="373"/>
      <c r="AB59" s="374"/>
      <c r="AC59" s="372">
        <f>$C$3+1</f>
        <v>2024</v>
      </c>
      <c r="AD59" s="373"/>
      <c r="AE59" s="373"/>
      <c r="AF59" s="373"/>
      <c r="AG59" s="374"/>
      <c r="AH59" s="372">
        <f>$C$3+2</f>
        <v>2025</v>
      </c>
      <c r="AI59" s="373"/>
      <c r="AJ59" s="373"/>
      <c r="AK59" s="373"/>
      <c r="AL59" s="374"/>
      <c r="AM59" s="372">
        <f>$C$3+3</f>
        <v>2026</v>
      </c>
      <c r="AN59" s="373"/>
      <c r="AO59" s="373"/>
      <c r="AP59" s="373"/>
      <c r="AQ59" s="374"/>
      <c r="AR59" s="372">
        <f>$C$3+4</f>
        <v>2027</v>
      </c>
      <c r="AS59" s="373"/>
      <c r="AT59" s="373"/>
      <c r="AU59" s="373"/>
      <c r="AV59" s="374"/>
      <c r="AW59" s="376" t="str">
        <f>X59&amp;" - "&amp;AR59</f>
        <v>2023 - 2027</v>
      </c>
      <c r="AX59" s="392"/>
    </row>
    <row r="60" spans="1:50" ht="45" outlineLevel="1" x14ac:dyDescent="0.25">
      <c r="B60" s="395"/>
      <c r="C60" s="396"/>
      <c r="D60" s="67" t="s">
        <v>6</v>
      </c>
      <c r="E60" s="68" t="s">
        <v>7</v>
      </c>
      <c r="F60" s="67" t="s">
        <v>6</v>
      </c>
      <c r="G60" s="9" t="s">
        <v>7</v>
      </c>
      <c r="H60" s="68" t="s">
        <v>81</v>
      </c>
      <c r="I60" s="67" t="s">
        <v>6</v>
      </c>
      <c r="J60" s="9" t="s">
        <v>7</v>
      </c>
      <c r="K60" s="68" t="s">
        <v>81</v>
      </c>
      <c r="L60" s="67" t="s">
        <v>6</v>
      </c>
      <c r="M60" s="9" t="s">
        <v>7</v>
      </c>
      <c r="N60" s="68" t="s">
        <v>81</v>
      </c>
      <c r="O60" s="67" t="s">
        <v>6</v>
      </c>
      <c r="P60" s="9" t="s">
        <v>7</v>
      </c>
      <c r="Q60" s="68" t="s">
        <v>81</v>
      </c>
      <c r="R60" s="67" t="s">
        <v>6</v>
      </c>
      <c r="S60" s="9" t="s">
        <v>7</v>
      </c>
      <c r="T60" s="68" t="s">
        <v>81</v>
      </c>
      <c r="U60" s="67" t="s">
        <v>17</v>
      </c>
      <c r="V60" s="132" t="s">
        <v>83</v>
      </c>
      <c r="X60" s="67" t="s">
        <v>6</v>
      </c>
      <c r="Y60" s="117" t="s">
        <v>88</v>
      </c>
      <c r="Z60" s="117" t="s">
        <v>89</v>
      </c>
      <c r="AA60" s="9" t="s">
        <v>7</v>
      </c>
      <c r="AB60" s="68" t="s">
        <v>81</v>
      </c>
      <c r="AC60" s="67" t="s">
        <v>6</v>
      </c>
      <c r="AD60" s="117" t="s">
        <v>88</v>
      </c>
      <c r="AE60" s="117" t="s">
        <v>89</v>
      </c>
      <c r="AF60" s="9" t="s">
        <v>7</v>
      </c>
      <c r="AG60" s="68" t="s">
        <v>81</v>
      </c>
      <c r="AH60" s="67" t="s">
        <v>6</v>
      </c>
      <c r="AI60" s="117" t="s">
        <v>88</v>
      </c>
      <c r="AJ60" s="117" t="s">
        <v>89</v>
      </c>
      <c r="AK60" s="9" t="s">
        <v>7</v>
      </c>
      <c r="AL60" s="68" t="s">
        <v>81</v>
      </c>
      <c r="AM60" s="67" t="s">
        <v>6</v>
      </c>
      <c r="AN60" s="117" t="s">
        <v>88</v>
      </c>
      <c r="AO60" s="117" t="s">
        <v>89</v>
      </c>
      <c r="AP60" s="9" t="s">
        <v>7</v>
      </c>
      <c r="AQ60" s="68" t="s">
        <v>81</v>
      </c>
      <c r="AR60" s="67" t="s">
        <v>6</v>
      </c>
      <c r="AS60" s="117" t="s">
        <v>88</v>
      </c>
      <c r="AT60" s="117" t="s">
        <v>89</v>
      </c>
      <c r="AU60" s="9" t="s">
        <v>7</v>
      </c>
      <c r="AV60" s="68" t="s">
        <v>81</v>
      </c>
      <c r="AW60" s="67" t="s">
        <v>17</v>
      </c>
      <c r="AX60" s="132" t="s">
        <v>83</v>
      </c>
    </row>
    <row r="61" spans="1:50" outlineLevel="1" x14ac:dyDescent="0.25">
      <c r="B61" s="281" t="s">
        <v>283</v>
      </c>
      <c r="C61" s="64" t="s">
        <v>22</v>
      </c>
      <c r="D61" s="71"/>
      <c r="E61" s="72"/>
      <c r="F61" s="71"/>
      <c r="G61" s="167">
        <f t="shared" ref="G61:G69" si="167">E61+F61</f>
        <v>0</v>
      </c>
      <c r="H61" s="203">
        <f t="shared" ref="H61:H75" si="168">IFERROR((G61-E61)/E61,0)</f>
        <v>0</v>
      </c>
      <c r="I61" s="71"/>
      <c r="J61" s="167">
        <f t="shared" ref="J61:J69" si="169">G61+I61</f>
        <v>0</v>
      </c>
      <c r="K61" s="203">
        <f t="shared" ref="K61:K75" si="170">IFERROR((J61-G61)/G61,0)</f>
        <v>0</v>
      </c>
      <c r="L61" s="71"/>
      <c r="M61" s="167">
        <f t="shared" ref="M61:M69" si="171">J61+L61</f>
        <v>0</v>
      </c>
      <c r="N61" s="203">
        <f t="shared" ref="N61:N75" si="172">IFERROR((M61-J61)/J61,0)</f>
        <v>0</v>
      </c>
      <c r="O61" s="71">
        <f>'Ενεργές συνδέσεις'!O61</f>
        <v>26</v>
      </c>
      <c r="P61" s="33"/>
      <c r="Q61" s="157"/>
      <c r="R61" s="71">
        <f>'Ενεργές συνδέσεις'!R61</f>
        <v>26</v>
      </c>
      <c r="S61" s="167">
        <f t="shared" ref="S61:S69" si="173">M61+R61</f>
        <v>26</v>
      </c>
      <c r="T61" s="203">
        <f t="shared" ref="T61:T75" si="174">IFERROR((S61-M61)/M61,0)</f>
        <v>0</v>
      </c>
      <c r="U61" s="198">
        <f t="shared" ref="U61:U75" si="175">D61+F61+I61+L61+R61</f>
        <v>26</v>
      </c>
      <c r="V61" s="199">
        <f t="shared" ref="V61:V75" si="176">IFERROR((S61/E61)^(1/4)-1,0)</f>
        <v>0</v>
      </c>
      <c r="X61" s="206">
        <f>Y61+Z61</f>
        <v>122</v>
      </c>
      <c r="Y61" s="6">
        <f>Y38</f>
        <v>122</v>
      </c>
      <c r="Z61" s="6">
        <f>Z38</f>
        <v>0</v>
      </c>
      <c r="AA61" s="167">
        <f t="shared" ref="AA61:AA69" si="177">S61+X61</f>
        <v>148</v>
      </c>
      <c r="AB61" s="203">
        <f t="shared" ref="AB61:AB75" si="178">IFERROR((AA61-S61)/S61,0)</f>
        <v>4.6923076923076925</v>
      </c>
      <c r="AC61" s="206">
        <f>AD61+AE61</f>
        <v>185</v>
      </c>
      <c r="AD61" s="6">
        <f>AD38</f>
        <v>185</v>
      </c>
      <c r="AE61" s="6">
        <f>AE38</f>
        <v>0</v>
      </c>
      <c r="AF61" s="167">
        <f t="shared" ref="AF61:AF69" si="179">AA61+AC61</f>
        <v>333</v>
      </c>
      <c r="AG61" s="190">
        <f t="shared" ref="AG61:AG75" si="180">IFERROR((AF61-AA61)/AA61,0)</f>
        <v>1.25</v>
      </c>
      <c r="AH61" s="206">
        <f>AI61+AJ61</f>
        <v>105</v>
      </c>
      <c r="AI61" s="6">
        <f>AI38</f>
        <v>105</v>
      </c>
      <c r="AJ61" s="6">
        <f>AJ38</f>
        <v>0</v>
      </c>
      <c r="AK61" s="167">
        <f t="shared" ref="AK61:AK69" si="181">AF61+AH61</f>
        <v>438</v>
      </c>
      <c r="AL61" s="190">
        <f t="shared" ref="AL61:AL75" si="182">IFERROR((AK61-AF61)/AF61,0)</f>
        <v>0.31531531531531531</v>
      </c>
      <c r="AM61" s="206">
        <f>AN61+AO61</f>
        <v>30</v>
      </c>
      <c r="AN61" s="6">
        <f>AN38</f>
        <v>30</v>
      </c>
      <c r="AO61" s="6">
        <f>AO38</f>
        <v>0</v>
      </c>
      <c r="AP61" s="167">
        <f t="shared" ref="AP61:AP69" si="183">AK61+AM61</f>
        <v>468</v>
      </c>
      <c r="AQ61" s="190">
        <f t="shared" ref="AQ61:AQ75" si="184">IFERROR((AP61-AK61)/AK61,0)</f>
        <v>6.8493150684931503E-2</v>
      </c>
      <c r="AR61" s="206">
        <f>AS61+AT61</f>
        <v>0</v>
      </c>
      <c r="AS61" s="6">
        <f>AS38</f>
        <v>0</v>
      </c>
      <c r="AT61" s="6">
        <f>AT38</f>
        <v>0</v>
      </c>
      <c r="AU61" s="167">
        <f t="shared" ref="AU61:AU69" si="185">AP61+AR61</f>
        <v>468</v>
      </c>
      <c r="AV61" s="190">
        <f t="shared" ref="AV61:AV75" si="186">IFERROR((AU61-AP61)/AP61,0)</f>
        <v>0</v>
      </c>
      <c r="AW61" s="198">
        <f t="shared" ref="AW61:AW69" si="187">X61+AC61+AH61+AM61+AR61</f>
        <v>442</v>
      </c>
      <c r="AX61" s="199">
        <f t="shared" ref="AX61:AX75" si="188">IFERROR((AU61/AA61)^(1/4)-1,0)</f>
        <v>0.33350925572020595</v>
      </c>
    </row>
    <row r="62" spans="1:50" s="55" customFormat="1" outlineLevel="1" x14ac:dyDescent="0.25">
      <c r="A62"/>
      <c r="B62" s="52" t="s">
        <v>284</v>
      </c>
      <c r="C62" s="64" t="s">
        <v>22</v>
      </c>
      <c r="D62" s="73"/>
      <c r="E62" s="74"/>
      <c r="F62" s="73"/>
      <c r="G62" s="167">
        <f t="shared" si="167"/>
        <v>0</v>
      </c>
      <c r="H62" s="203">
        <f t="shared" si="168"/>
        <v>0</v>
      </c>
      <c r="I62" s="73"/>
      <c r="J62" s="167">
        <f t="shared" si="169"/>
        <v>0</v>
      </c>
      <c r="K62" s="203">
        <f t="shared" si="170"/>
        <v>0</v>
      </c>
      <c r="L62" s="73"/>
      <c r="M62" s="167">
        <f t="shared" si="171"/>
        <v>0</v>
      </c>
      <c r="N62" s="203">
        <f t="shared" si="172"/>
        <v>0</v>
      </c>
      <c r="O62" s="71">
        <f>'Ενεργές συνδέσεις'!O62</f>
        <v>0</v>
      </c>
      <c r="P62" s="151"/>
      <c r="Q62" s="154"/>
      <c r="R62" s="71">
        <f>'Ενεργές συνδέσεις'!R62</f>
        <v>0</v>
      </c>
      <c r="S62" s="167">
        <f t="shared" si="173"/>
        <v>0</v>
      </c>
      <c r="T62" s="203">
        <f t="shared" si="174"/>
        <v>0</v>
      </c>
      <c r="U62" s="198">
        <f t="shared" si="175"/>
        <v>0</v>
      </c>
      <c r="V62" s="199">
        <f t="shared" si="176"/>
        <v>0</v>
      </c>
      <c r="W62"/>
      <c r="X62" s="206">
        <f t="shared" ref="X62:X69" si="189">Y62+Z62</f>
        <v>179</v>
      </c>
      <c r="Y62" s="6">
        <f t="shared" ref="Y62:Z62" si="190">Y39</f>
        <v>179</v>
      </c>
      <c r="Z62" s="6">
        <f t="shared" si="190"/>
        <v>0</v>
      </c>
      <c r="AA62" s="167">
        <f t="shared" si="177"/>
        <v>179</v>
      </c>
      <c r="AB62" s="203">
        <f t="shared" si="178"/>
        <v>0</v>
      </c>
      <c r="AC62" s="206">
        <f t="shared" ref="AC62:AC69" si="191">AD62+AE62</f>
        <v>260</v>
      </c>
      <c r="AD62" s="6">
        <f t="shared" ref="AD62:AE62" si="192">AD39</f>
        <v>260</v>
      </c>
      <c r="AE62" s="6">
        <f t="shared" si="192"/>
        <v>0</v>
      </c>
      <c r="AF62" s="167">
        <f t="shared" si="179"/>
        <v>439</v>
      </c>
      <c r="AG62" s="190">
        <f t="shared" si="180"/>
        <v>1.4525139664804469</v>
      </c>
      <c r="AH62" s="206">
        <f t="shared" ref="AH62:AH69" si="193">AI62+AJ62</f>
        <v>254</v>
      </c>
      <c r="AI62" s="6">
        <f t="shared" ref="AI62:AJ62" si="194">AI39</f>
        <v>254</v>
      </c>
      <c r="AJ62" s="6">
        <f t="shared" si="194"/>
        <v>0</v>
      </c>
      <c r="AK62" s="167">
        <f t="shared" si="181"/>
        <v>693</v>
      </c>
      <c r="AL62" s="190">
        <f t="shared" si="182"/>
        <v>0.57858769931662868</v>
      </c>
      <c r="AM62" s="206">
        <f t="shared" ref="AM62:AM69" si="195">AN62+AO62</f>
        <v>68</v>
      </c>
      <c r="AN62" s="6">
        <f t="shared" ref="AN62:AO62" si="196">AN39</f>
        <v>68</v>
      </c>
      <c r="AO62" s="6">
        <f t="shared" si="196"/>
        <v>0</v>
      </c>
      <c r="AP62" s="167">
        <f t="shared" si="183"/>
        <v>761</v>
      </c>
      <c r="AQ62" s="190">
        <f t="shared" si="184"/>
        <v>9.8124098124098127E-2</v>
      </c>
      <c r="AR62" s="206">
        <f t="shared" ref="AR62:AR69" si="197">AS62+AT62</f>
        <v>0</v>
      </c>
      <c r="AS62" s="6">
        <f t="shared" ref="AS62:AT62" si="198">AS39</f>
        <v>0</v>
      </c>
      <c r="AT62" s="6">
        <f t="shared" si="198"/>
        <v>0</v>
      </c>
      <c r="AU62" s="167">
        <f t="shared" si="185"/>
        <v>761</v>
      </c>
      <c r="AV62" s="190">
        <f t="shared" si="186"/>
        <v>0</v>
      </c>
      <c r="AW62" s="198">
        <f t="shared" si="187"/>
        <v>761</v>
      </c>
      <c r="AX62" s="199">
        <f t="shared" si="188"/>
        <v>0.43592880112165955</v>
      </c>
    </row>
    <row r="63" spans="1:50" s="55" customFormat="1" outlineLevel="1" x14ac:dyDescent="0.25">
      <c r="A63"/>
      <c r="B63" s="52" t="s">
        <v>285</v>
      </c>
      <c r="C63" s="64" t="s">
        <v>22</v>
      </c>
      <c r="D63" s="73"/>
      <c r="E63" s="74"/>
      <c r="F63" s="73"/>
      <c r="G63" s="167">
        <f t="shared" si="167"/>
        <v>0</v>
      </c>
      <c r="H63" s="203">
        <f t="shared" si="168"/>
        <v>0</v>
      </c>
      <c r="I63" s="73"/>
      <c r="J63" s="167">
        <f t="shared" si="169"/>
        <v>0</v>
      </c>
      <c r="K63" s="203">
        <f t="shared" si="170"/>
        <v>0</v>
      </c>
      <c r="L63" s="73"/>
      <c r="M63" s="167">
        <f t="shared" si="171"/>
        <v>0</v>
      </c>
      <c r="N63" s="203">
        <f t="shared" si="172"/>
        <v>0</v>
      </c>
      <c r="O63" s="71">
        <f>'Ενεργές συνδέσεις'!O63</f>
        <v>0</v>
      </c>
      <c r="P63" s="151"/>
      <c r="Q63" s="154"/>
      <c r="R63" s="71">
        <f>'Ενεργές συνδέσεις'!R63</f>
        <v>0</v>
      </c>
      <c r="S63" s="167">
        <f t="shared" si="173"/>
        <v>0</v>
      </c>
      <c r="T63" s="203">
        <f t="shared" si="174"/>
        <v>0</v>
      </c>
      <c r="U63" s="198">
        <f t="shared" si="175"/>
        <v>0</v>
      </c>
      <c r="V63" s="199">
        <f t="shared" si="176"/>
        <v>0</v>
      </c>
      <c r="W63"/>
      <c r="X63" s="206">
        <f t="shared" si="189"/>
        <v>168</v>
      </c>
      <c r="Y63" s="6">
        <f t="shared" ref="Y63:Z63" si="199">Y40</f>
        <v>168</v>
      </c>
      <c r="Z63" s="6">
        <f t="shared" si="199"/>
        <v>0</v>
      </c>
      <c r="AA63" s="167">
        <f t="shared" si="177"/>
        <v>168</v>
      </c>
      <c r="AB63" s="203">
        <f t="shared" si="178"/>
        <v>0</v>
      </c>
      <c r="AC63" s="206">
        <f t="shared" si="191"/>
        <v>255</v>
      </c>
      <c r="AD63" s="6">
        <f t="shared" ref="AD63:AE63" si="200">AD40</f>
        <v>255</v>
      </c>
      <c r="AE63" s="6">
        <f t="shared" si="200"/>
        <v>0</v>
      </c>
      <c r="AF63" s="167">
        <f t="shared" si="179"/>
        <v>423</v>
      </c>
      <c r="AG63" s="190">
        <f t="shared" si="180"/>
        <v>1.5178571428571428</v>
      </c>
      <c r="AH63" s="206">
        <f t="shared" si="193"/>
        <v>206</v>
      </c>
      <c r="AI63" s="6">
        <f t="shared" ref="AI63:AJ63" si="201">AI40</f>
        <v>206</v>
      </c>
      <c r="AJ63" s="6">
        <f t="shared" si="201"/>
        <v>0</v>
      </c>
      <c r="AK63" s="167">
        <f t="shared" si="181"/>
        <v>629</v>
      </c>
      <c r="AL63" s="190">
        <f t="shared" si="182"/>
        <v>0.48699763593380613</v>
      </c>
      <c r="AM63" s="206">
        <f t="shared" si="195"/>
        <v>64</v>
      </c>
      <c r="AN63" s="6">
        <f t="shared" ref="AN63:AO63" si="202">AN40</f>
        <v>64</v>
      </c>
      <c r="AO63" s="6">
        <f t="shared" si="202"/>
        <v>0</v>
      </c>
      <c r="AP63" s="167">
        <f t="shared" si="183"/>
        <v>693</v>
      </c>
      <c r="AQ63" s="190">
        <f t="shared" si="184"/>
        <v>0.10174880763116058</v>
      </c>
      <c r="AR63" s="206">
        <f t="shared" si="197"/>
        <v>0</v>
      </c>
      <c r="AS63" s="6">
        <f t="shared" ref="AS63:AT63" si="203">AS40</f>
        <v>0</v>
      </c>
      <c r="AT63" s="6">
        <f t="shared" si="203"/>
        <v>0</v>
      </c>
      <c r="AU63" s="167">
        <f t="shared" si="185"/>
        <v>693</v>
      </c>
      <c r="AV63" s="190">
        <f t="shared" si="186"/>
        <v>0</v>
      </c>
      <c r="AW63" s="198">
        <f t="shared" si="187"/>
        <v>693</v>
      </c>
      <c r="AX63" s="199">
        <f t="shared" si="188"/>
        <v>0.42513494138589913</v>
      </c>
    </row>
    <row r="64" spans="1:50" outlineLevel="1" x14ac:dyDescent="0.25">
      <c r="B64" s="52" t="s">
        <v>286</v>
      </c>
      <c r="C64" s="64" t="s">
        <v>22</v>
      </c>
      <c r="D64" s="71"/>
      <c r="E64" s="72"/>
      <c r="F64" s="71"/>
      <c r="G64" s="167">
        <f t="shared" si="167"/>
        <v>0</v>
      </c>
      <c r="H64" s="203">
        <f t="shared" si="168"/>
        <v>0</v>
      </c>
      <c r="I64" s="71"/>
      <c r="J64" s="167">
        <f t="shared" si="169"/>
        <v>0</v>
      </c>
      <c r="K64" s="203">
        <f t="shared" si="170"/>
        <v>0</v>
      </c>
      <c r="L64" s="71"/>
      <c r="M64" s="167">
        <f t="shared" si="171"/>
        <v>0</v>
      </c>
      <c r="N64" s="203">
        <f t="shared" si="172"/>
        <v>0</v>
      </c>
      <c r="O64" s="71">
        <f>'Ενεργές συνδέσεις'!O64</f>
        <v>0</v>
      </c>
      <c r="P64" s="33"/>
      <c r="Q64" s="157"/>
      <c r="R64" s="71">
        <f>'Ενεργές συνδέσεις'!R64</f>
        <v>0</v>
      </c>
      <c r="S64" s="167">
        <f t="shared" si="173"/>
        <v>0</v>
      </c>
      <c r="T64" s="203">
        <f t="shared" si="174"/>
        <v>0</v>
      </c>
      <c r="U64" s="198">
        <f t="shared" si="175"/>
        <v>0</v>
      </c>
      <c r="V64" s="199">
        <f t="shared" si="176"/>
        <v>0</v>
      </c>
      <c r="X64" s="206">
        <f t="shared" si="189"/>
        <v>235</v>
      </c>
      <c r="Y64" s="6">
        <f t="shared" ref="Y64:Z64" si="204">Y41</f>
        <v>0</v>
      </c>
      <c r="Z64" s="6">
        <f t="shared" si="204"/>
        <v>235</v>
      </c>
      <c r="AA64" s="167">
        <f t="shared" si="177"/>
        <v>235</v>
      </c>
      <c r="AB64" s="203">
        <f t="shared" si="178"/>
        <v>0</v>
      </c>
      <c r="AC64" s="206">
        <f t="shared" si="191"/>
        <v>1070</v>
      </c>
      <c r="AD64" s="6">
        <f t="shared" ref="AD64:AE64" si="205">AD41</f>
        <v>1070</v>
      </c>
      <c r="AE64" s="6">
        <f t="shared" si="205"/>
        <v>0</v>
      </c>
      <c r="AF64" s="167">
        <f t="shared" si="179"/>
        <v>1305</v>
      </c>
      <c r="AG64" s="190">
        <f t="shared" si="180"/>
        <v>4.5531914893617023</v>
      </c>
      <c r="AH64" s="206">
        <f t="shared" si="193"/>
        <v>810</v>
      </c>
      <c r="AI64" s="6">
        <f t="shared" ref="AI64:AJ64" si="206">AI41</f>
        <v>810</v>
      </c>
      <c r="AJ64" s="6">
        <f t="shared" si="206"/>
        <v>0</v>
      </c>
      <c r="AK64" s="167">
        <f t="shared" si="181"/>
        <v>2115</v>
      </c>
      <c r="AL64" s="190">
        <f t="shared" si="182"/>
        <v>0.62068965517241381</v>
      </c>
      <c r="AM64" s="206">
        <f t="shared" si="195"/>
        <v>277</v>
      </c>
      <c r="AN64" s="6">
        <f t="shared" ref="AN64:AO64" si="207">AN41</f>
        <v>277</v>
      </c>
      <c r="AO64" s="6">
        <f t="shared" si="207"/>
        <v>0</v>
      </c>
      <c r="AP64" s="167">
        <f t="shared" si="183"/>
        <v>2392</v>
      </c>
      <c r="AQ64" s="190">
        <f t="shared" si="184"/>
        <v>0.1309692671394799</v>
      </c>
      <c r="AR64" s="206">
        <f t="shared" si="197"/>
        <v>138</v>
      </c>
      <c r="AS64" s="6">
        <f t="shared" ref="AS64:AT64" si="208">AS41</f>
        <v>138</v>
      </c>
      <c r="AT64" s="6">
        <f t="shared" si="208"/>
        <v>0</v>
      </c>
      <c r="AU64" s="167">
        <f t="shared" si="185"/>
        <v>2530</v>
      </c>
      <c r="AV64" s="190">
        <f t="shared" si="186"/>
        <v>5.7692307692307696E-2</v>
      </c>
      <c r="AW64" s="198">
        <f t="shared" si="187"/>
        <v>2530</v>
      </c>
      <c r="AX64" s="199">
        <f t="shared" si="188"/>
        <v>0.81139500042631907</v>
      </c>
    </row>
    <row r="65" spans="1:50" s="55" customFormat="1" outlineLevel="1" x14ac:dyDescent="0.25">
      <c r="A65"/>
      <c r="B65" s="52" t="s">
        <v>287</v>
      </c>
      <c r="C65" s="64" t="s">
        <v>22</v>
      </c>
      <c r="D65" s="73"/>
      <c r="E65" s="74"/>
      <c r="F65" s="73"/>
      <c r="G65" s="167">
        <f t="shared" si="167"/>
        <v>0</v>
      </c>
      <c r="H65" s="203">
        <f t="shared" si="168"/>
        <v>0</v>
      </c>
      <c r="I65" s="73"/>
      <c r="J65" s="167">
        <f t="shared" si="169"/>
        <v>0</v>
      </c>
      <c r="K65" s="203">
        <f t="shared" si="170"/>
        <v>0</v>
      </c>
      <c r="L65" s="73"/>
      <c r="M65" s="167">
        <f t="shared" si="171"/>
        <v>0</v>
      </c>
      <c r="N65" s="203">
        <f t="shared" si="172"/>
        <v>0</v>
      </c>
      <c r="O65" s="71">
        <f>'Ενεργές συνδέσεις'!O65</f>
        <v>0</v>
      </c>
      <c r="P65" s="151"/>
      <c r="Q65" s="154"/>
      <c r="R65" s="71">
        <f>'Ενεργές συνδέσεις'!R65</f>
        <v>0</v>
      </c>
      <c r="S65" s="167">
        <f t="shared" si="173"/>
        <v>0</v>
      </c>
      <c r="T65" s="203">
        <f t="shared" si="174"/>
        <v>0</v>
      </c>
      <c r="U65" s="198">
        <f t="shared" si="175"/>
        <v>0</v>
      </c>
      <c r="V65" s="199">
        <f t="shared" si="176"/>
        <v>0</v>
      </c>
      <c r="W65"/>
      <c r="X65" s="206">
        <f t="shared" si="189"/>
        <v>0</v>
      </c>
      <c r="Y65" s="6">
        <f t="shared" ref="Y65:Z65" si="209">Y42</f>
        <v>0</v>
      </c>
      <c r="Z65" s="6">
        <f t="shared" si="209"/>
        <v>0</v>
      </c>
      <c r="AA65" s="167">
        <f t="shared" si="177"/>
        <v>0</v>
      </c>
      <c r="AB65" s="203">
        <f t="shared" si="178"/>
        <v>0</v>
      </c>
      <c r="AC65" s="206">
        <f t="shared" si="191"/>
        <v>800</v>
      </c>
      <c r="AD65" s="6">
        <f t="shared" ref="AD65:AE65" si="210">AD42</f>
        <v>800</v>
      </c>
      <c r="AE65" s="6">
        <f t="shared" si="210"/>
        <v>0</v>
      </c>
      <c r="AF65" s="167">
        <f t="shared" si="179"/>
        <v>800</v>
      </c>
      <c r="AG65" s="190">
        <f t="shared" si="180"/>
        <v>0</v>
      </c>
      <c r="AH65" s="206">
        <f t="shared" si="193"/>
        <v>748</v>
      </c>
      <c r="AI65" s="6">
        <f t="shared" ref="AI65:AJ65" si="211">AI42</f>
        <v>748</v>
      </c>
      <c r="AJ65" s="6">
        <f t="shared" si="211"/>
        <v>0</v>
      </c>
      <c r="AK65" s="167">
        <f t="shared" si="181"/>
        <v>1548</v>
      </c>
      <c r="AL65" s="190">
        <f t="shared" si="182"/>
        <v>0.93500000000000005</v>
      </c>
      <c r="AM65" s="206">
        <f t="shared" si="195"/>
        <v>686</v>
      </c>
      <c r="AN65" s="6">
        <f t="shared" ref="AN65:AO65" si="212">AN42</f>
        <v>686</v>
      </c>
      <c r="AO65" s="6">
        <f t="shared" si="212"/>
        <v>0</v>
      </c>
      <c r="AP65" s="167">
        <f t="shared" si="183"/>
        <v>2234</v>
      </c>
      <c r="AQ65" s="190">
        <f t="shared" si="184"/>
        <v>0.44315245478036175</v>
      </c>
      <c r="AR65" s="206">
        <f t="shared" si="197"/>
        <v>344</v>
      </c>
      <c r="AS65" s="6">
        <f t="shared" ref="AS65:AT65" si="213">AS42</f>
        <v>344</v>
      </c>
      <c r="AT65" s="6">
        <f t="shared" si="213"/>
        <v>0</v>
      </c>
      <c r="AU65" s="167">
        <f t="shared" si="185"/>
        <v>2578</v>
      </c>
      <c r="AV65" s="190">
        <f t="shared" si="186"/>
        <v>0.15398388540734109</v>
      </c>
      <c r="AW65" s="198">
        <f t="shared" si="187"/>
        <v>2578</v>
      </c>
      <c r="AX65" s="199">
        <f t="shared" si="188"/>
        <v>0</v>
      </c>
    </row>
    <row r="66" spans="1:50" outlineLevel="1" x14ac:dyDescent="0.25">
      <c r="B66" s="52" t="s">
        <v>288</v>
      </c>
      <c r="C66" s="64" t="s">
        <v>22</v>
      </c>
      <c r="D66" s="71"/>
      <c r="E66" s="72"/>
      <c r="F66" s="71"/>
      <c r="G66" s="167">
        <f t="shared" si="167"/>
        <v>0</v>
      </c>
      <c r="H66" s="203">
        <f t="shared" si="168"/>
        <v>0</v>
      </c>
      <c r="I66" s="71"/>
      <c r="J66" s="167">
        <f t="shared" si="169"/>
        <v>0</v>
      </c>
      <c r="K66" s="203">
        <f t="shared" si="170"/>
        <v>0</v>
      </c>
      <c r="L66" s="71"/>
      <c r="M66" s="167">
        <f t="shared" si="171"/>
        <v>0</v>
      </c>
      <c r="N66" s="203">
        <f t="shared" si="172"/>
        <v>0</v>
      </c>
      <c r="O66" s="71">
        <f>'Ενεργές συνδέσεις'!O66</f>
        <v>0</v>
      </c>
      <c r="P66" s="33"/>
      <c r="Q66" s="157"/>
      <c r="R66" s="71">
        <f>'Ενεργές συνδέσεις'!R66</f>
        <v>0</v>
      </c>
      <c r="S66" s="167">
        <f t="shared" si="173"/>
        <v>0</v>
      </c>
      <c r="T66" s="203">
        <f t="shared" si="174"/>
        <v>0</v>
      </c>
      <c r="U66" s="198">
        <f t="shared" si="175"/>
        <v>0</v>
      </c>
      <c r="V66" s="199">
        <f t="shared" si="176"/>
        <v>0</v>
      </c>
      <c r="X66" s="206">
        <f t="shared" si="189"/>
        <v>195</v>
      </c>
      <c r="Y66" s="6">
        <f t="shared" ref="Y66:Z66" si="214">Y43</f>
        <v>0</v>
      </c>
      <c r="Z66" s="6">
        <f t="shared" si="214"/>
        <v>195</v>
      </c>
      <c r="AA66" s="167">
        <f t="shared" si="177"/>
        <v>195</v>
      </c>
      <c r="AB66" s="203">
        <f t="shared" si="178"/>
        <v>0</v>
      </c>
      <c r="AC66" s="206">
        <f t="shared" si="191"/>
        <v>360</v>
      </c>
      <c r="AD66" s="6">
        <f t="shared" ref="AD66:AE66" si="215">AD43</f>
        <v>360</v>
      </c>
      <c r="AE66" s="6">
        <f t="shared" si="215"/>
        <v>0</v>
      </c>
      <c r="AF66" s="167">
        <f t="shared" si="179"/>
        <v>555</v>
      </c>
      <c r="AG66" s="190">
        <f t="shared" si="180"/>
        <v>1.8461538461538463</v>
      </c>
      <c r="AH66" s="206">
        <f t="shared" si="193"/>
        <v>218</v>
      </c>
      <c r="AI66" s="6">
        <f t="shared" ref="AI66:AJ66" si="216">AI43</f>
        <v>218</v>
      </c>
      <c r="AJ66" s="6">
        <f t="shared" si="216"/>
        <v>0</v>
      </c>
      <c r="AK66" s="167">
        <f t="shared" si="181"/>
        <v>773</v>
      </c>
      <c r="AL66" s="190">
        <f t="shared" si="182"/>
        <v>0.39279279279279278</v>
      </c>
      <c r="AM66" s="206">
        <f t="shared" si="195"/>
        <v>50</v>
      </c>
      <c r="AN66" s="6">
        <f t="shared" ref="AN66:AO66" si="217">AN43</f>
        <v>50</v>
      </c>
      <c r="AO66" s="6">
        <f t="shared" si="217"/>
        <v>0</v>
      </c>
      <c r="AP66" s="167">
        <f t="shared" si="183"/>
        <v>823</v>
      </c>
      <c r="AQ66" s="190">
        <f t="shared" si="184"/>
        <v>6.4683053040103494E-2</v>
      </c>
      <c r="AR66" s="206">
        <f t="shared" si="197"/>
        <v>25</v>
      </c>
      <c r="AS66" s="6">
        <f t="shared" ref="AS66:AT66" si="218">AS43</f>
        <v>25</v>
      </c>
      <c r="AT66" s="6">
        <f t="shared" si="218"/>
        <v>0</v>
      </c>
      <c r="AU66" s="167">
        <f t="shared" si="185"/>
        <v>848</v>
      </c>
      <c r="AV66" s="190">
        <f t="shared" si="186"/>
        <v>3.0376670716889428E-2</v>
      </c>
      <c r="AW66" s="198">
        <f t="shared" si="187"/>
        <v>848</v>
      </c>
      <c r="AX66" s="199">
        <f t="shared" si="188"/>
        <v>0.44407686448545358</v>
      </c>
    </row>
    <row r="67" spans="1:50" ht="16.5" customHeight="1" outlineLevel="1" x14ac:dyDescent="0.25">
      <c r="B67" s="52" t="s">
        <v>289</v>
      </c>
      <c r="C67" s="64" t="s">
        <v>22</v>
      </c>
      <c r="D67" s="71"/>
      <c r="E67" s="72"/>
      <c r="F67" s="71"/>
      <c r="G67" s="167">
        <f t="shared" si="167"/>
        <v>0</v>
      </c>
      <c r="H67" s="203">
        <f t="shared" si="168"/>
        <v>0</v>
      </c>
      <c r="I67" s="71"/>
      <c r="J67" s="167">
        <f t="shared" si="169"/>
        <v>0</v>
      </c>
      <c r="K67" s="203">
        <f t="shared" si="170"/>
        <v>0</v>
      </c>
      <c r="L67" s="71"/>
      <c r="M67" s="167">
        <f t="shared" si="171"/>
        <v>0</v>
      </c>
      <c r="N67" s="203">
        <f t="shared" si="172"/>
        <v>0</v>
      </c>
      <c r="O67" s="71">
        <f>'Ενεργές συνδέσεις'!O67</f>
        <v>0</v>
      </c>
      <c r="P67" s="33"/>
      <c r="Q67" s="157"/>
      <c r="R67" s="71">
        <f>'Ενεργές συνδέσεις'!R67</f>
        <v>0</v>
      </c>
      <c r="S67" s="167">
        <f t="shared" si="173"/>
        <v>0</v>
      </c>
      <c r="T67" s="203">
        <f t="shared" si="174"/>
        <v>0</v>
      </c>
      <c r="U67" s="198">
        <f t="shared" si="175"/>
        <v>0</v>
      </c>
      <c r="V67" s="199">
        <f t="shared" si="176"/>
        <v>0</v>
      </c>
      <c r="X67" s="206">
        <f t="shared" si="189"/>
        <v>274</v>
      </c>
      <c r="Y67" s="6">
        <f t="shared" ref="Y67:Z67" si="219">Y44</f>
        <v>0</v>
      </c>
      <c r="Z67" s="6">
        <f t="shared" si="219"/>
        <v>274</v>
      </c>
      <c r="AA67" s="167">
        <f t="shared" si="177"/>
        <v>274</v>
      </c>
      <c r="AB67" s="203">
        <f t="shared" si="178"/>
        <v>0</v>
      </c>
      <c r="AC67" s="206">
        <f t="shared" si="191"/>
        <v>1449</v>
      </c>
      <c r="AD67" s="6">
        <f t="shared" ref="AD67:AE67" si="220">AD44</f>
        <v>1449</v>
      </c>
      <c r="AE67" s="6">
        <f t="shared" si="220"/>
        <v>0</v>
      </c>
      <c r="AF67" s="167">
        <f t="shared" si="179"/>
        <v>1723</v>
      </c>
      <c r="AG67" s="190">
        <f t="shared" si="180"/>
        <v>5.288321167883212</v>
      </c>
      <c r="AH67" s="206">
        <f t="shared" si="193"/>
        <v>1050</v>
      </c>
      <c r="AI67" s="6">
        <f t="shared" ref="AI67:AJ67" si="221">AI44</f>
        <v>1050</v>
      </c>
      <c r="AJ67" s="6">
        <f t="shared" si="221"/>
        <v>0</v>
      </c>
      <c r="AK67" s="167">
        <f t="shared" si="181"/>
        <v>2773</v>
      </c>
      <c r="AL67" s="190">
        <f t="shared" si="182"/>
        <v>0.60940220545560064</v>
      </c>
      <c r="AM67" s="206">
        <f t="shared" si="195"/>
        <v>1050</v>
      </c>
      <c r="AN67" s="6">
        <f t="shared" ref="AN67:AO67" si="222">AN44</f>
        <v>1050</v>
      </c>
      <c r="AO67" s="6">
        <f t="shared" si="222"/>
        <v>0</v>
      </c>
      <c r="AP67" s="167">
        <f t="shared" si="183"/>
        <v>3823</v>
      </c>
      <c r="AQ67" s="190">
        <f t="shared" si="184"/>
        <v>0.37865128020194733</v>
      </c>
      <c r="AR67" s="206">
        <f t="shared" si="197"/>
        <v>525</v>
      </c>
      <c r="AS67" s="6">
        <f t="shared" ref="AS67:AT67" si="223">AS44</f>
        <v>525</v>
      </c>
      <c r="AT67" s="6">
        <f t="shared" si="223"/>
        <v>0</v>
      </c>
      <c r="AU67" s="167">
        <f t="shared" si="185"/>
        <v>4348</v>
      </c>
      <c r="AV67" s="190">
        <f t="shared" si="186"/>
        <v>0.1373267067747842</v>
      </c>
      <c r="AW67" s="198">
        <f t="shared" si="187"/>
        <v>4348</v>
      </c>
      <c r="AX67" s="199">
        <f t="shared" si="188"/>
        <v>0.99588145623801028</v>
      </c>
    </row>
    <row r="68" spans="1:50" ht="16.5" customHeight="1" outlineLevel="1" x14ac:dyDescent="0.25">
      <c r="B68" s="52" t="s">
        <v>290</v>
      </c>
      <c r="C68" s="64" t="s">
        <v>22</v>
      </c>
      <c r="D68" s="71"/>
      <c r="E68" s="72"/>
      <c r="F68" s="71"/>
      <c r="G68" s="167">
        <f t="shared" si="167"/>
        <v>0</v>
      </c>
      <c r="H68" s="203">
        <f t="shared" si="168"/>
        <v>0</v>
      </c>
      <c r="I68" s="71"/>
      <c r="J68" s="167">
        <f t="shared" si="169"/>
        <v>0</v>
      </c>
      <c r="K68" s="203">
        <f t="shared" si="170"/>
        <v>0</v>
      </c>
      <c r="L68" s="71"/>
      <c r="M68" s="167">
        <f t="shared" si="171"/>
        <v>0</v>
      </c>
      <c r="N68" s="203">
        <f t="shared" si="172"/>
        <v>0</v>
      </c>
      <c r="O68" s="71">
        <f>'Ενεργές συνδέσεις'!O68</f>
        <v>0</v>
      </c>
      <c r="P68" s="33"/>
      <c r="Q68" s="157"/>
      <c r="R68" s="71">
        <f>'Ενεργές συνδέσεις'!R68</f>
        <v>0</v>
      </c>
      <c r="S68" s="167">
        <f t="shared" si="173"/>
        <v>0</v>
      </c>
      <c r="T68" s="203">
        <f t="shared" si="174"/>
        <v>0</v>
      </c>
      <c r="U68" s="198">
        <f t="shared" si="175"/>
        <v>0</v>
      </c>
      <c r="V68" s="199">
        <f t="shared" si="176"/>
        <v>0</v>
      </c>
      <c r="X68" s="206">
        <f t="shared" si="189"/>
        <v>362</v>
      </c>
      <c r="Y68" s="6">
        <f t="shared" ref="Y68:Z68" si="224">Y45</f>
        <v>0</v>
      </c>
      <c r="Z68" s="6">
        <f t="shared" si="224"/>
        <v>362</v>
      </c>
      <c r="AA68" s="167">
        <f t="shared" si="177"/>
        <v>362</v>
      </c>
      <c r="AB68" s="203">
        <f t="shared" si="178"/>
        <v>0</v>
      </c>
      <c r="AC68" s="206">
        <f t="shared" si="191"/>
        <v>1399</v>
      </c>
      <c r="AD68" s="6">
        <f t="shared" ref="AD68:AE68" si="225">AD45</f>
        <v>1399</v>
      </c>
      <c r="AE68" s="6">
        <f t="shared" si="225"/>
        <v>0</v>
      </c>
      <c r="AF68" s="167">
        <f t="shared" si="179"/>
        <v>1761</v>
      </c>
      <c r="AG68" s="190">
        <f t="shared" si="180"/>
        <v>3.8646408839779007</v>
      </c>
      <c r="AH68" s="206">
        <f t="shared" si="193"/>
        <v>1229</v>
      </c>
      <c r="AI68" s="6">
        <f t="shared" ref="AI68:AJ68" si="226">AI45</f>
        <v>1229</v>
      </c>
      <c r="AJ68" s="6">
        <f t="shared" si="226"/>
        <v>0</v>
      </c>
      <c r="AK68" s="167">
        <f t="shared" si="181"/>
        <v>2990</v>
      </c>
      <c r="AL68" s="190">
        <f t="shared" si="182"/>
        <v>0.69789892106757523</v>
      </c>
      <c r="AM68" s="206">
        <f t="shared" si="195"/>
        <v>1050</v>
      </c>
      <c r="AN68" s="6">
        <f t="shared" ref="AN68:AO68" si="227">AN45</f>
        <v>1050</v>
      </c>
      <c r="AO68" s="6">
        <f t="shared" si="227"/>
        <v>0</v>
      </c>
      <c r="AP68" s="167">
        <f t="shared" si="183"/>
        <v>4040</v>
      </c>
      <c r="AQ68" s="190">
        <f t="shared" si="184"/>
        <v>0.3511705685618729</v>
      </c>
      <c r="AR68" s="206">
        <f t="shared" si="197"/>
        <v>525</v>
      </c>
      <c r="AS68" s="6">
        <f t="shared" ref="AS68:AT68" si="228">AS45</f>
        <v>525</v>
      </c>
      <c r="AT68" s="6">
        <f t="shared" si="228"/>
        <v>0</v>
      </c>
      <c r="AU68" s="167">
        <f t="shared" si="185"/>
        <v>4565</v>
      </c>
      <c r="AV68" s="190">
        <f t="shared" si="186"/>
        <v>0.12995049504950495</v>
      </c>
      <c r="AW68" s="198">
        <f t="shared" si="187"/>
        <v>4565</v>
      </c>
      <c r="AX68" s="199">
        <f t="shared" si="188"/>
        <v>0.88444320499540141</v>
      </c>
    </row>
    <row r="69" spans="1:50" ht="16.5" customHeight="1" outlineLevel="1" x14ac:dyDescent="0.25">
      <c r="B69" s="52" t="s">
        <v>291</v>
      </c>
      <c r="C69" s="64" t="s">
        <v>22</v>
      </c>
      <c r="D69" s="71"/>
      <c r="E69" s="72"/>
      <c r="F69" s="71"/>
      <c r="G69" s="167">
        <f t="shared" si="167"/>
        <v>0</v>
      </c>
      <c r="H69" s="203">
        <f t="shared" si="168"/>
        <v>0</v>
      </c>
      <c r="I69" s="71"/>
      <c r="J69" s="167">
        <f t="shared" si="169"/>
        <v>0</v>
      </c>
      <c r="K69" s="203">
        <f t="shared" si="170"/>
        <v>0</v>
      </c>
      <c r="L69" s="71"/>
      <c r="M69" s="167">
        <f t="shared" si="171"/>
        <v>0</v>
      </c>
      <c r="N69" s="203">
        <f t="shared" si="172"/>
        <v>0</v>
      </c>
      <c r="O69" s="71">
        <f>'Ενεργές συνδέσεις'!O69</f>
        <v>37</v>
      </c>
      <c r="P69" s="33"/>
      <c r="Q69" s="157"/>
      <c r="R69" s="71">
        <f>'Ενεργές συνδέσεις'!R69</f>
        <v>1158</v>
      </c>
      <c r="S69" s="167">
        <f t="shared" si="173"/>
        <v>1158</v>
      </c>
      <c r="T69" s="203">
        <f t="shared" si="174"/>
        <v>0</v>
      </c>
      <c r="U69" s="198">
        <f t="shared" si="175"/>
        <v>1158</v>
      </c>
      <c r="V69" s="199">
        <f t="shared" si="176"/>
        <v>0</v>
      </c>
      <c r="X69" s="206">
        <f t="shared" si="189"/>
        <v>147</v>
      </c>
      <c r="Y69" s="6">
        <f t="shared" ref="Y69:Z69" si="229">Y46</f>
        <v>147</v>
      </c>
      <c r="Z69" s="6">
        <f t="shared" si="229"/>
        <v>0</v>
      </c>
      <c r="AA69" s="167">
        <f t="shared" si="177"/>
        <v>1305</v>
      </c>
      <c r="AB69" s="203">
        <f t="shared" si="178"/>
        <v>0.12694300518134716</v>
      </c>
      <c r="AC69" s="206">
        <f t="shared" si="191"/>
        <v>111</v>
      </c>
      <c r="AD69" s="6">
        <f t="shared" ref="AD69:AE69" si="230">AD46</f>
        <v>111</v>
      </c>
      <c r="AE69" s="6">
        <f t="shared" si="230"/>
        <v>0</v>
      </c>
      <c r="AF69" s="167">
        <f t="shared" si="179"/>
        <v>1416</v>
      </c>
      <c r="AG69" s="190">
        <f t="shared" si="180"/>
        <v>8.5057471264367815E-2</v>
      </c>
      <c r="AH69" s="206">
        <f t="shared" si="193"/>
        <v>25</v>
      </c>
      <c r="AI69" s="6">
        <f t="shared" ref="AI69:AJ69" si="231">AI46</f>
        <v>25</v>
      </c>
      <c r="AJ69" s="6">
        <f t="shared" si="231"/>
        <v>0</v>
      </c>
      <c r="AK69" s="167">
        <f t="shared" si="181"/>
        <v>1441</v>
      </c>
      <c r="AL69" s="190">
        <f t="shared" si="182"/>
        <v>1.7655367231638418E-2</v>
      </c>
      <c r="AM69" s="206">
        <f t="shared" si="195"/>
        <v>25</v>
      </c>
      <c r="AN69" s="6">
        <f t="shared" ref="AN69:AO69" si="232">AN46</f>
        <v>25</v>
      </c>
      <c r="AO69" s="6">
        <f t="shared" si="232"/>
        <v>0</v>
      </c>
      <c r="AP69" s="167">
        <f t="shared" si="183"/>
        <v>1466</v>
      </c>
      <c r="AQ69" s="190">
        <f t="shared" si="184"/>
        <v>1.7349063150589868E-2</v>
      </c>
      <c r="AR69" s="206">
        <f t="shared" si="197"/>
        <v>17</v>
      </c>
      <c r="AS69" s="6">
        <f t="shared" ref="AS69:AT69" si="233">AS46</f>
        <v>17</v>
      </c>
      <c r="AT69" s="6">
        <f t="shared" si="233"/>
        <v>0</v>
      </c>
      <c r="AU69" s="167">
        <f t="shared" si="185"/>
        <v>1483</v>
      </c>
      <c r="AV69" s="190">
        <f t="shared" si="186"/>
        <v>1.1596180081855388E-2</v>
      </c>
      <c r="AW69" s="198">
        <f t="shared" si="187"/>
        <v>325</v>
      </c>
      <c r="AX69" s="199">
        <f t="shared" si="188"/>
        <v>3.2482406083759185E-2</v>
      </c>
    </row>
    <row r="70" spans="1:50" ht="16.5" customHeight="1" outlineLevel="1" x14ac:dyDescent="0.25">
      <c r="B70" s="52" t="s">
        <v>307</v>
      </c>
      <c r="C70" s="64"/>
      <c r="D70" s="71"/>
      <c r="E70" s="72"/>
      <c r="F70" s="71"/>
      <c r="G70" s="167"/>
      <c r="H70" s="203">
        <f t="shared" si="168"/>
        <v>0</v>
      </c>
      <c r="I70" s="71"/>
      <c r="J70" s="167"/>
      <c r="K70" s="203">
        <f t="shared" si="170"/>
        <v>0</v>
      </c>
      <c r="L70" s="71"/>
      <c r="M70" s="167"/>
      <c r="N70" s="203">
        <f t="shared" si="172"/>
        <v>0</v>
      </c>
      <c r="O70" s="71"/>
      <c r="P70" s="33"/>
      <c r="Q70" s="157"/>
      <c r="R70" s="71"/>
      <c r="S70" s="167"/>
      <c r="T70" s="203">
        <f t="shared" si="174"/>
        <v>0</v>
      </c>
      <c r="U70" s="198">
        <f t="shared" si="175"/>
        <v>0</v>
      </c>
      <c r="V70" s="199">
        <f t="shared" si="176"/>
        <v>0</v>
      </c>
      <c r="X70" s="206">
        <f t="shared" ref="X70:X74" si="234">Y70+Z70</f>
        <v>55</v>
      </c>
      <c r="Y70" s="6">
        <f t="shared" ref="Y70:Z70" si="235">Y47</f>
        <v>0</v>
      </c>
      <c r="Z70" s="6">
        <f t="shared" si="235"/>
        <v>55</v>
      </c>
      <c r="AA70" s="167">
        <f t="shared" ref="AA70:AA74" si="236">S70+X70</f>
        <v>55</v>
      </c>
      <c r="AB70" s="203">
        <f t="shared" ref="AB70:AB74" si="237">IFERROR((AA70-S70)/S70,0)</f>
        <v>0</v>
      </c>
      <c r="AC70" s="206">
        <f t="shared" ref="AC70:AC74" si="238">AD70+AE70</f>
        <v>85</v>
      </c>
      <c r="AD70" s="6">
        <f t="shared" ref="AD70:AE70" si="239">AD47</f>
        <v>85</v>
      </c>
      <c r="AE70" s="6">
        <f t="shared" si="239"/>
        <v>0</v>
      </c>
      <c r="AF70" s="167">
        <f t="shared" ref="AF70:AF74" si="240">AA70+AC70</f>
        <v>140</v>
      </c>
      <c r="AG70" s="190">
        <f t="shared" ref="AG70:AG74" si="241">IFERROR((AF70-AA70)/AA70,0)</f>
        <v>1.5454545454545454</v>
      </c>
      <c r="AH70" s="206">
        <f t="shared" ref="AH70:AH74" si="242">AI70+AJ70</f>
        <v>90</v>
      </c>
      <c r="AI70" s="6">
        <f t="shared" ref="AI70:AJ70" si="243">AI47</f>
        <v>90</v>
      </c>
      <c r="AJ70" s="6">
        <f t="shared" si="243"/>
        <v>0</v>
      </c>
      <c r="AK70" s="167">
        <f t="shared" ref="AK70:AK74" si="244">AF70+AH70</f>
        <v>230</v>
      </c>
      <c r="AL70" s="190">
        <f t="shared" ref="AL70:AL74" si="245">IFERROR((AK70-AF70)/AF70,0)</f>
        <v>0.6428571428571429</v>
      </c>
      <c r="AM70" s="206">
        <f t="shared" ref="AM70:AM74" si="246">AN70+AO70</f>
        <v>55</v>
      </c>
      <c r="AN70" s="6">
        <f t="shared" ref="AN70:AO70" si="247">AN47</f>
        <v>55</v>
      </c>
      <c r="AO70" s="6">
        <f t="shared" si="247"/>
        <v>0</v>
      </c>
      <c r="AP70" s="167">
        <f t="shared" ref="AP70:AP74" si="248">AK70+AM70</f>
        <v>285</v>
      </c>
      <c r="AQ70" s="190">
        <f t="shared" ref="AQ70:AQ74" si="249">IFERROR((AP70-AK70)/AK70,0)</f>
        <v>0.2391304347826087</v>
      </c>
      <c r="AR70" s="206">
        <f t="shared" ref="AR70:AR74" si="250">AS70+AT70</f>
        <v>45</v>
      </c>
      <c r="AS70" s="6">
        <f t="shared" ref="AS70:AT70" si="251">AS47</f>
        <v>45</v>
      </c>
      <c r="AT70" s="6">
        <f t="shared" si="251"/>
        <v>0</v>
      </c>
      <c r="AU70" s="167">
        <f t="shared" ref="AU70:AU74" si="252">AP70+AR70</f>
        <v>330</v>
      </c>
      <c r="AV70" s="190">
        <f t="shared" ref="AV70:AV74" si="253">IFERROR((AU70-AP70)/AP70,0)</f>
        <v>0.15789473684210525</v>
      </c>
      <c r="AW70" s="198">
        <f t="shared" ref="AW70:AW74" si="254">X70+AC70+AH70+AM70+AR70</f>
        <v>330</v>
      </c>
      <c r="AX70" s="199">
        <f t="shared" si="188"/>
        <v>0.56508458007328732</v>
      </c>
    </row>
    <row r="71" spans="1:50" ht="16.5" customHeight="1" outlineLevel="1" x14ac:dyDescent="0.25">
      <c r="B71" s="52" t="s">
        <v>304</v>
      </c>
      <c r="C71" s="64"/>
      <c r="D71" s="71"/>
      <c r="E71" s="72"/>
      <c r="F71" s="71"/>
      <c r="G71" s="167"/>
      <c r="H71" s="203">
        <f t="shared" si="168"/>
        <v>0</v>
      </c>
      <c r="I71" s="71"/>
      <c r="J71" s="167"/>
      <c r="K71" s="203">
        <f t="shared" si="170"/>
        <v>0</v>
      </c>
      <c r="L71" s="71"/>
      <c r="M71" s="167"/>
      <c r="N71" s="203">
        <f t="shared" si="172"/>
        <v>0</v>
      </c>
      <c r="O71" s="71"/>
      <c r="P71" s="33"/>
      <c r="Q71" s="157"/>
      <c r="R71" s="71"/>
      <c r="S71" s="167"/>
      <c r="T71" s="203">
        <f t="shared" si="174"/>
        <v>0</v>
      </c>
      <c r="U71" s="198">
        <f t="shared" si="175"/>
        <v>0</v>
      </c>
      <c r="V71" s="199">
        <f t="shared" si="176"/>
        <v>0</v>
      </c>
      <c r="X71" s="206">
        <f t="shared" si="234"/>
        <v>55</v>
      </c>
      <c r="Y71" s="6">
        <f t="shared" ref="Y71:Z71" si="255">Y48</f>
        <v>0</v>
      </c>
      <c r="Z71" s="6">
        <f t="shared" si="255"/>
        <v>55</v>
      </c>
      <c r="AA71" s="167">
        <f t="shared" si="236"/>
        <v>55</v>
      </c>
      <c r="AB71" s="203">
        <f t="shared" si="237"/>
        <v>0</v>
      </c>
      <c r="AC71" s="206">
        <f t="shared" si="238"/>
        <v>85</v>
      </c>
      <c r="AD71" s="6">
        <f t="shared" ref="AD71:AE71" si="256">AD48</f>
        <v>85</v>
      </c>
      <c r="AE71" s="6">
        <f t="shared" si="256"/>
        <v>0</v>
      </c>
      <c r="AF71" s="167">
        <f t="shared" si="240"/>
        <v>140</v>
      </c>
      <c r="AG71" s="190">
        <f t="shared" si="241"/>
        <v>1.5454545454545454</v>
      </c>
      <c r="AH71" s="206">
        <f t="shared" si="242"/>
        <v>140</v>
      </c>
      <c r="AI71" s="6">
        <f t="shared" ref="AI71:AJ71" si="257">AI48</f>
        <v>140</v>
      </c>
      <c r="AJ71" s="6">
        <f t="shared" si="257"/>
        <v>0</v>
      </c>
      <c r="AK71" s="167">
        <f t="shared" si="244"/>
        <v>280</v>
      </c>
      <c r="AL71" s="190">
        <f t="shared" si="245"/>
        <v>1</v>
      </c>
      <c r="AM71" s="206">
        <f t="shared" si="246"/>
        <v>65</v>
      </c>
      <c r="AN71" s="6">
        <f t="shared" ref="AN71:AO71" si="258">AN48</f>
        <v>65</v>
      </c>
      <c r="AO71" s="6">
        <f t="shared" si="258"/>
        <v>0</v>
      </c>
      <c r="AP71" s="167">
        <f t="shared" si="248"/>
        <v>345</v>
      </c>
      <c r="AQ71" s="190">
        <f t="shared" si="249"/>
        <v>0.23214285714285715</v>
      </c>
      <c r="AR71" s="206">
        <f t="shared" si="250"/>
        <v>45</v>
      </c>
      <c r="AS71" s="6">
        <f t="shared" ref="AS71:AT71" si="259">AS48</f>
        <v>45</v>
      </c>
      <c r="AT71" s="6">
        <f t="shared" si="259"/>
        <v>0</v>
      </c>
      <c r="AU71" s="167">
        <f t="shared" si="252"/>
        <v>390</v>
      </c>
      <c r="AV71" s="190">
        <f t="shared" si="253"/>
        <v>0.13043478260869565</v>
      </c>
      <c r="AW71" s="198">
        <f t="shared" si="254"/>
        <v>390</v>
      </c>
      <c r="AX71" s="199">
        <f t="shared" si="188"/>
        <v>0.63183212794569754</v>
      </c>
    </row>
    <row r="72" spans="1:50" ht="16.5" customHeight="1" outlineLevel="1" x14ac:dyDescent="0.25">
      <c r="B72" s="52" t="s">
        <v>305</v>
      </c>
      <c r="C72" s="64"/>
      <c r="D72" s="71"/>
      <c r="E72" s="72"/>
      <c r="F72" s="71"/>
      <c r="G72" s="167"/>
      <c r="H72" s="203">
        <f t="shared" si="168"/>
        <v>0</v>
      </c>
      <c r="I72" s="71"/>
      <c r="J72" s="167"/>
      <c r="K72" s="203">
        <f t="shared" si="170"/>
        <v>0</v>
      </c>
      <c r="L72" s="71"/>
      <c r="M72" s="167"/>
      <c r="N72" s="203">
        <f t="shared" si="172"/>
        <v>0</v>
      </c>
      <c r="O72" s="71"/>
      <c r="P72" s="33"/>
      <c r="Q72" s="157"/>
      <c r="R72" s="71"/>
      <c r="S72" s="167"/>
      <c r="T72" s="203">
        <f t="shared" si="174"/>
        <v>0</v>
      </c>
      <c r="U72" s="198">
        <f t="shared" si="175"/>
        <v>0</v>
      </c>
      <c r="V72" s="199">
        <f t="shared" si="176"/>
        <v>0</v>
      </c>
      <c r="X72" s="206">
        <f t="shared" si="234"/>
        <v>55</v>
      </c>
      <c r="Y72" s="6">
        <f t="shared" ref="Y72:Z72" si="260">Y49</f>
        <v>0</v>
      </c>
      <c r="Z72" s="6">
        <f t="shared" si="260"/>
        <v>55</v>
      </c>
      <c r="AA72" s="167">
        <f t="shared" si="236"/>
        <v>55</v>
      </c>
      <c r="AB72" s="203">
        <f t="shared" si="237"/>
        <v>0</v>
      </c>
      <c r="AC72" s="206">
        <f t="shared" si="238"/>
        <v>85</v>
      </c>
      <c r="AD72" s="6">
        <f t="shared" ref="AD72:AE72" si="261">AD49</f>
        <v>85</v>
      </c>
      <c r="AE72" s="6">
        <f t="shared" si="261"/>
        <v>0</v>
      </c>
      <c r="AF72" s="167">
        <f t="shared" si="240"/>
        <v>140</v>
      </c>
      <c r="AG72" s="190">
        <f t="shared" si="241"/>
        <v>1.5454545454545454</v>
      </c>
      <c r="AH72" s="206">
        <f t="shared" si="242"/>
        <v>120</v>
      </c>
      <c r="AI72" s="6">
        <f t="shared" ref="AI72:AJ72" si="262">AI49</f>
        <v>120</v>
      </c>
      <c r="AJ72" s="6">
        <f t="shared" si="262"/>
        <v>0</v>
      </c>
      <c r="AK72" s="167">
        <f t="shared" si="244"/>
        <v>260</v>
      </c>
      <c r="AL72" s="190">
        <f t="shared" si="245"/>
        <v>0.8571428571428571</v>
      </c>
      <c r="AM72" s="206">
        <f t="shared" si="246"/>
        <v>55</v>
      </c>
      <c r="AN72" s="6">
        <f t="shared" ref="AN72:AO72" si="263">AN49</f>
        <v>55</v>
      </c>
      <c r="AO72" s="6">
        <f t="shared" si="263"/>
        <v>0</v>
      </c>
      <c r="AP72" s="167">
        <f t="shared" si="248"/>
        <v>315</v>
      </c>
      <c r="AQ72" s="190">
        <f t="shared" si="249"/>
        <v>0.21153846153846154</v>
      </c>
      <c r="AR72" s="206">
        <f t="shared" si="250"/>
        <v>45</v>
      </c>
      <c r="AS72" s="6">
        <f t="shared" ref="AS72:AT72" si="264">AS49</f>
        <v>45</v>
      </c>
      <c r="AT72" s="6">
        <f t="shared" si="264"/>
        <v>0</v>
      </c>
      <c r="AU72" s="167">
        <f t="shared" si="252"/>
        <v>360</v>
      </c>
      <c r="AV72" s="190">
        <f t="shared" si="253"/>
        <v>0.14285714285714285</v>
      </c>
      <c r="AW72" s="198">
        <f t="shared" si="254"/>
        <v>360</v>
      </c>
      <c r="AX72" s="199">
        <f t="shared" si="188"/>
        <v>0.59950260902173125</v>
      </c>
    </row>
    <row r="73" spans="1:50" ht="16.5" customHeight="1" outlineLevel="1" x14ac:dyDescent="0.25">
      <c r="B73" s="52" t="s">
        <v>306</v>
      </c>
      <c r="C73" s="64"/>
      <c r="D73" s="71"/>
      <c r="E73" s="72"/>
      <c r="F73" s="71"/>
      <c r="G73" s="167"/>
      <c r="H73" s="203">
        <f t="shared" si="168"/>
        <v>0</v>
      </c>
      <c r="I73" s="71"/>
      <c r="J73" s="167"/>
      <c r="K73" s="203">
        <f t="shared" si="170"/>
        <v>0</v>
      </c>
      <c r="L73" s="71"/>
      <c r="M73" s="167"/>
      <c r="N73" s="203">
        <f t="shared" si="172"/>
        <v>0</v>
      </c>
      <c r="O73" s="71"/>
      <c r="P73" s="33"/>
      <c r="Q73" s="157"/>
      <c r="R73" s="71"/>
      <c r="S73" s="167"/>
      <c r="T73" s="203">
        <f t="shared" si="174"/>
        <v>0</v>
      </c>
      <c r="U73" s="198">
        <f t="shared" si="175"/>
        <v>0</v>
      </c>
      <c r="V73" s="199">
        <f t="shared" si="176"/>
        <v>0</v>
      </c>
      <c r="X73" s="206">
        <f t="shared" si="234"/>
        <v>106</v>
      </c>
      <c r="Y73" s="6">
        <f t="shared" ref="Y73:Z73" si="265">Y50</f>
        <v>106</v>
      </c>
      <c r="Z73" s="6">
        <f t="shared" si="265"/>
        <v>0</v>
      </c>
      <c r="AA73" s="167">
        <f t="shared" si="236"/>
        <v>106</v>
      </c>
      <c r="AB73" s="203">
        <f t="shared" si="237"/>
        <v>0</v>
      </c>
      <c r="AC73" s="206">
        <f t="shared" si="238"/>
        <v>124</v>
      </c>
      <c r="AD73" s="6">
        <f t="shared" ref="AD73:AE73" si="266">AD50</f>
        <v>124</v>
      </c>
      <c r="AE73" s="6">
        <f t="shared" si="266"/>
        <v>0</v>
      </c>
      <c r="AF73" s="167">
        <f t="shared" si="240"/>
        <v>230</v>
      </c>
      <c r="AG73" s="190">
        <f t="shared" si="241"/>
        <v>1.1698113207547169</v>
      </c>
      <c r="AH73" s="206">
        <f t="shared" si="242"/>
        <v>162</v>
      </c>
      <c r="AI73" s="6">
        <f t="shared" ref="AI73:AJ73" si="267">AI50</f>
        <v>162</v>
      </c>
      <c r="AJ73" s="6">
        <f t="shared" si="267"/>
        <v>0</v>
      </c>
      <c r="AK73" s="167">
        <f t="shared" si="244"/>
        <v>392</v>
      </c>
      <c r="AL73" s="190">
        <f t="shared" si="245"/>
        <v>0.70434782608695656</v>
      </c>
      <c r="AM73" s="206">
        <f t="shared" si="246"/>
        <v>159</v>
      </c>
      <c r="AN73" s="6">
        <f t="shared" ref="AN73:AO73" si="268">AN50</f>
        <v>159</v>
      </c>
      <c r="AO73" s="6">
        <f t="shared" si="268"/>
        <v>0</v>
      </c>
      <c r="AP73" s="167">
        <f t="shared" si="248"/>
        <v>551</v>
      </c>
      <c r="AQ73" s="190">
        <f t="shared" si="249"/>
        <v>0.40561224489795916</v>
      </c>
      <c r="AR73" s="206">
        <f t="shared" si="250"/>
        <v>100</v>
      </c>
      <c r="AS73" s="6">
        <f t="shared" ref="AS73:AT73" si="269">AS50</f>
        <v>100</v>
      </c>
      <c r="AT73" s="6">
        <f t="shared" si="269"/>
        <v>0</v>
      </c>
      <c r="AU73" s="167">
        <f t="shared" si="252"/>
        <v>651</v>
      </c>
      <c r="AV73" s="190">
        <f t="shared" si="253"/>
        <v>0.18148820326678766</v>
      </c>
      <c r="AW73" s="198">
        <f t="shared" si="254"/>
        <v>651</v>
      </c>
      <c r="AX73" s="199">
        <f t="shared" si="188"/>
        <v>0.57423216170350977</v>
      </c>
    </row>
    <row r="74" spans="1:50" ht="16.5" customHeight="1" outlineLevel="1" x14ac:dyDescent="0.25">
      <c r="B74" s="52" t="s">
        <v>308</v>
      </c>
      <c r="C74" s="64"/>
      <c r="D74" s="71"/>
      <c r="E74" s="72"/>
      <c r="F74" s="71"/>
      <c r="G74" s="167"/>
      <c r="H74" s="203">
        <f t="shared" si="168"/>
        <v>0</v>
      </c>
      <c r="I74" s="71"/>
      <c r="J74" s="167"/>
      <c r="K74" s="203">
        <f t="shared" si="170"/>
        <v>0</v>
      </c>
      <c r="L74" s="71"/>
      <c r="M74" s="167"/>
      <c r="N74" s="203">
        <f t="shared" si="172"/>
        <v>0</v>
      </c>
      <c r="O74" s="71"/>
      <c r="P74" s="33"/>
      <c r="Q74" s="157"/>
      <c r="R74" s="71"/>
      <c r="S74" s="167"/>
      <c r="T74" s="203">
        <f t="shared" si="174"/>
        <v>0</v>
      </c>
      <c r="U74" s="198">
        <f t="shared" si="175"/>
        <v>0</v>
      </c>
      <c r="V74" s="199">
        <f t="shared" si="176"/>
        <v>0</v>
      </c>
      <c r="X74" s="206">
        <f t="shared" si="234"/>
        <v>85</v>
      </c>
      <c r="Y74" s="6">
        <f t="shared" ref="Y74:Z74" si="270">Y51</f>
        <v>0</v>
      </c>
      <c r="Z74" s="6">
        <f t="shared" si="270"/>
        <v>85</v>
      </c>
      <c r="AA74" s="167">
        <f t="shared" si="236"/>
        <v>85</v>
      </c>
      <c r="AB74" s="203">
        <f t="shared" si="237"/>
        <v>0</v>
      </c>
      <c r="AC74" s="206">
        <f t="shared" si="238"/>
        <v>100</v>
      </c>
      <c r="AD74" s="6">
        <f t="shared" ref="AD74:AE74" si="271">AD51</f>
        <v>100</v>
      </c>
      <c r="AE74" s="6">
        <f t="shared" si="271"/>
        <v>0</v>
      </c>
      <c r="AF74" s="167">
        <f t="shared" si="240"/>
        <v>185</v>
      </c>
      <c r="AG74" s="190">
        <f t="shared" si="241"/>
        <v>1.1764705882352942</v>
      </c>
      <c r="AH74" s="206">
        <f t="shared" si="242"/>
        <v>122</v>
      </c>
      <c r="AI74" s="6">
        <f t="shared" ref="AI74:AJ74" si="272">AI51</f>
        <v>122</v>
      </c>
      <c r="AJ74" s="6">
        <f t="shared" si="272"/>
        <v>0</v>
      </c>
      <c r="AK74" s="167">
        <f t="shared" si="244"/>
        <v>307</v>
      </c>
      <c r="AL74" s="190">
        <f t="shared" si="245"/>
        <v>0.6594594594594595</v>
      </c>
      <c r="AM74" s="206">
        <f t="shared" si="246"/>
        <v>100</v>
      </c>
      <c r="AN74" s="6">
        <f t="shared" ref="AN74:AO74" si="273">AN51</f>
        <v>100</v>
      </c>
      <c r="AO74" s="6">
        <f t="shared" si="273"/>
        <v>0</v>
      </c>
      <c r="AP74" s="167">
        <f t="shared" si="248"/>
        <v>407</v>
      </c>
      <c r="AQ74" s="190">
        <f t="shared" si="249"/>
        <v>0.32573289902280128</v>
      </c>
      <c r="AR74" s="206">
        <f t="shared" si="250"/>
        <v>100</v>
      </c>
      <c r="AS74" s="6">
        <f t="shared" ref="AS74:AT74" si="274">AS51</f>
        <v>100</v>
      </c>
      <c r="AT74" s="6">
        <f t="shared" si="274"/>
        <v>0</v>
      </c>
      <c r="AU74" s="167">
        <f t="shared" si="252"/>
        <v>507</v>
      </c>
      <c r="AV74" s="190">
        <f t="shared" si="253"/>
        <v>0.24570024570024571</v>
      </c>
      <c r="AW74" s="198">
        <f t="shared" si="254"/>
        <v>507</v>
      </c>
      <c r="AX74" s="199">
        <f t="shared" si="188"/>
        <v>0.56277789056285377</v>
      </c>
    </row>
    <row r="75" spans="1:50" ht="16.5" customHeight="1" outlineLevel="1" x14ac:dyDescent="0.25">
      <c r="B75" s="52"/>
      <c r="C75" s="64"/>
      <c r="D75" s="71"/>
      <c r="E75" s="72"/>
      <c r="F75" s="71"/>
      <c r="G75" s="167"/>
      <c r="H75" s="203">
        <f t="shared" si="168"/>
        <v>0</v>
      </c>
      <c r="I75" s="71"/>
      <c r="J75" s="167"/>
      <c r="K75" s="203">
        <f t="shared" si="170"/>
        <v>0</v>
      </c>
      <c r="L75" s="71"/>
      <c r="M75" s="167"/>
      <c r="N75" s="203">
        <f t="shared" si="172"/>
        <v>0</v>
      </c>
      <c r="O75" s="71"/>
      <c r="P75" s="33"/>
      <c r="Q75" s="157"/>
      <c r="R75" s="71"/>
      <c r="S75" s="167"/>
      <c r="T75" s="203">
        <f t="shared" si="174"/>
        <v>0</v>
      </c>
      <c r="U75" s="198">
        <f t="shared" si="175"/>
        <v>0</v>
      </c>
      <c r="V75" s="199">
        <f t="shared" si="176"/>
        <v>0</v>
      </c>
      <c r="X75" s="206"/>
      <c r="Y75" s="6"/>
      <c r="Z75" s="6"/>
      <c r="AA75" s="167"/>
      <c r="AB75" s="203">
        <f t="shared" si="178"/>
        <v>0</v>
      </c>
      <c r="AC75" s="206"/>
      <c r="AD75" s="6"/>
      <c r="AE75" s="6"/>
      <c r="AF75" s="167"/>
      <c r="AG75" s="190">
        <f t="shared" si="180"/>
        <v>0</v>
      </c>
      <c r="AH75" s="206"/>
      <c r="AI75" s="6"/>
      <c r="AJ75" s="6"/>
      <c r="AK75" s="167"/>
      <c r="AL75" s="190">
        <f t="shared" si="182"/>
        <v>0</v>
      </c>
      <c r="AM75" s="206"/>
      <c r="AN75" s="6"/>
      <c r="AO75" s="6"/>
      <c r="AP75" s="167"/>
      <c r="AQ75" s="190">
        <f t="shared" si="184"/>
        <v>0</v>
      </c>
      <c r="AR75" s="206"/>
      <c r="AS75" s="6"/>
      <c r="AT75" s="6"/>
      <c r="AU75" s="167"/>
      <c r="AV75" s="190">
        <f t="shared" si="186"/>
        <v>0</v>
      </c>
      <c r="AW75" s="198"/>
      <c r="AX75" s="199">
        <f t="shared" si="188"/>
        <v>0</v>
      </c>
    </row>
    <row r="76" spans="1:50" ht="15" customHeight="1" outlineLevel="1" x14ac:dyDescent="0.25">
      <c r="B76" s="349" t="s">
        <v>90</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97"/>
    </row>
    <row r="77" spans="1:50" ht="15" customHeight="1" outlineLevel="1" x14ac:dyDescent="0.25">
      <c r="B77" s="52" t="s">
        <v>82</v>
      </c>
      <c r="C77" s="49" t="s">
        <v>22</v>
      </c>
      <c r="D77" s="207">
        <f>SUM(D61:D75)</f>
        <v>0</v>
      </c>
      <c r="E77" s="208">
        <f>SUM(E61:E75)</f>
        <v>0</v>
      </c>
      <c r="F77" s="207">
        <f>SUM(F61:F75)</f>
        <v>0</v>
      </c>
      <c r="G77" s="172">
        <f>SUM(G61:G75)</f>
        <v>0</v>
      </c>
      <c r="H77" s="202">
        <f>IFERROR((G77-E77)/E77,0)</f>
        <v>0</v>
      </c>
      <c r="I77" s="207">
        <f>SUM(I61:I75)</f>
        <v>0</v>
      </c>
      <c r="J77" s="172">
        <f>SUM(J61:J75)</f>
        <v>0</v>
      </c>
      <c r="K77" s="202">
        <f t="shared" ref="K77" si="275">IFERROR((J77-G77)/G77,0)</f>
        <v>0</v>
      </c>
      <c r="L77" s="207">
        <f>SUM(L61:L75)</f>
        <v>0</v>
      </c>
      <c r="M77" s="172">
        <f>SUM(M61:M75)</f>
        <v>0</v>
      </c>
      <c r="N77" s="202">
        <f t="shared" ref="N77" si="276">IFERROR((M77-J77)/J77,0)</f>
        <v>0</v>
      </c>
      <c r="O77" s="207">
        <f>SUM(O61:O75)</f>
        <v>63</v>
      </c>
      <c r="P77" s="158"/>
      <c r="Q77" s="159"/>
      <c r="R77" s="207">
        <f>SUM(R61:R75)</f>
        <v>1184</v>
      </c>
      <c r="S77" s="172">
        <f>SUM(S61:S75)</f>
        <v>1184</v>
      </c>
      <c r="T77" s="202">
        <f t="shared" ref="T77" si="277">IFERROR((S77-M77)/M77,0)</f>
        <v>0</v>
      </c>
      <c r="U77" s="198">
        <f>D77+F77+I77+L77+R77</f>
        <v>1184</v>
      </c>
      <c r="V77" s="199">
        <f>IFERROR((S77/E77)^(1/4)-1,0)</f>
        <v>0</v>
      </c>
      <c r="X77" s="188">
        <f>SUM(X61:X75)</f>
        <v>2038</v>
      </c>
      <c r="Y77" s="187">
        <f>SUM(Y61:Y75)</f>
        <v>722</v>
      </c>
      <c r="Z77" s="187">
        <f>SUM(Z61:Z75)</f>
        <v>1316</v>
      </c>
      <c r="AA77" s="187">
        <f>SUM(AA61:AA75)</f>
        <v>3222</v>
      </c>
      <c r="AB77" s="202">
        <f>IFERROR((AA77-S77)/S77,0)</f>
        <v>1.7212837837837838</v>
      </c>
      <c r="AC77" s="188">
        <f>SUM(AC61:AC75)</f>
        <v>6368</v>
      </c>
      <c r="AD77" s="187">
        <f>SUM(AD61:AD75)</f>
        <v>6368</v>
      </c>
      <c r="AE77" s="187">
        <f>SUM(AE61:AE75)</f>
        <v>0</v>
      </c>
      <c r="AF77" s="187">
        <f>SUM(AF61:AF75)</f>
        <v>9590</v>
      </c>
      <c r="AG77" s="191">
        <f t="shared" ref="AG77" si="278">IFERROR((AF77-AA77)/AA77,0)</f>
        <v>1.9764121663563003</v>
      </c>
      <c r="AH77" s="188">
        <f>SUM(AH61:AH75)</f>
        <v>5279</v>
      </c>
      <c r="AI77" s="187">
        <f>SUM(AI61:AI75)</f>
        <v>5279</v>
      </c>
      <c r="AJ77" s="187">
        <f>SUM(AJ61:AJ75)</f>
        <v>0</v>
      </c>
      <c r="AK77" s="187">
        <f>SUM(AK61:AK75)</f>
        <v>14869</v>
      </c>
      <c r="AL77" s="191">
        <f t="shared" ref="AL77" si="279">IFERROR((AK77-AF77)/AF77,0)</f>
        <v>0.55046923879040666</v>
      </c>
      <c r="AM77" s="188">
        <f>SUM(AM61:AM75)</f>
        <v>3734</v>
      </c>
      <c r="AN77" s="187">
        <f>SUM(AN61:AN75)</f>
        <v>3734</v>
      </c>
      <c r="AO77" s="187">
        <f>SUM(AO61:AO75)</f>
        <v>0</v>
      </c>
      <c r="AP77" s="187">
        <f>SUM(AP61:AP75)</f>
        <v>18603</v>
      </c>
      <c r="AQ77" s="191">
        <f t="shared" ref="AQ77" si="280">IFERROR((AP77-AK77)/AK77,0)</f>
        <v>0.25112650480866233</v>
      </c>
      <c r="AR77" s="188">
        <f>SUM(AR61:AR75)</f>
        <v>1909</v>
      </c>
      <c r="AS77" s="187">
        <f>SUM(AS61:AS75)</f>
        <v>1909</v>
      </c>
      <c r="AT77" s="187">
        <f>SUM(AT61:AT75)</f>
        <v>0</v>
      </c>
      <c r="AU77" s="187">
        <f>SUM(AU61:AU75)</f>
        <v>20512</v>
      </c>
      <c r="AV77" s="191">
        <f t="shared" ref="AV77" si="281">IFERROR((AU77-AP77)/AP77,0)</f>
        <v>0.10261785733483847</v>
      </c>
      <c r="AW77" s="188">
        <f>SUM(AW61:AW75)</f>
        <v>19328</v>
      </c>
      <c r="AX77" s="199">
        <f t="shared" ref="AX77" si="282">IFERROR((AU77/AA77)^(1/4)-1,0)</f>
        <v>0.58843927958595832</v>
      </c>
    </row>
    <row r="78" spans="1:50" ht="15" customHeight="1" x14ac:dyDescent="0.25"/>
    <row r="79" spans="1:50" ht="15.75" x14ac:dyDescent="0.25">
      <c r="B79" s="352" t="s">
        <v>206</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row>
    <row r="80" spans="1:50" ht="5.45" customHeight="1" outlineLevel="1" x14ac:dyDescent="0.2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row>
    <row r="81" spans="1:50" outlineLevel="1" x14ac:dyDescent="0.25">
      <c r="B81" s="393"/>
      <c r="C81" s="396" t="s">
        <v>20</v>
      </c>
      <c r="D81" s="372" t="s">
        <v>262</v>
      </c>
      <c r="E81" s="373"/>
      <c r="F81" s="373"/>
      <c r="G81" s="373"/>
      <c r="H81" s="373"/>
      <c r="I81" s="373"/>
      <c r="J81" s="373"/>
      <c r="K81" s="373"/>
      <c r="L81" s="373"/>
      <c r="M81" s="373"/>
      <c r="N81" s="373"/>
      <c r="O81" s="373"/>
      <c r="P81" s="373"/>
      <c r="Q81" s="374"/>
      <c r="R81" s="372" t="s">
        <v>260</v>
      </c>
      <c r="S81" s="373"/>
      <c r="T81" s="374"/>
      <c r="U81" s="388" t="str">
        <f xml:space="preserve"> D82&amp;" - "&amp;R82</f>
        <v>2018 - 2022</v>
      </c>
      <c r="V81" s="398"/>
      <c r="X81" s="372" t="s">
        <v>261</v>
      </c>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outlineLevel="1" x14ac:dyDescent="0.25">
      <c r="B82" s="394"/>
      <c r="C82" s="396"/>
      <c r="D82" s="372">
        <f>$C$3-5</f>
        <v>2018</v>
      </c>
      <c r="E82" s="374"/>
      <c r="F82" s="372">
        <f>$C$3-4</f>
        <v>2019</v>
      </c>
      <c r="G82" s="373"/>
      <c r="H82" s="374"/>
      <c r="I82" s="372">
        <f>$C$3-3</f>
        <v>2020</v>
      </c>
      <c r="J82" s="373"/>
      <c r="K82" s="374"/>
      <c r="L82" s="372">
        <f>$C$3-2</f>
        <v>2021</v>
      </c>
      <c r="M82" s="373"/>
      <c r="N82" s="374"/>
      <c r="O82" s="372" t="str">
        <f>$C$3-1&amp;""&amp;" ("&amp;"Σεπτ"&amp;")"</f>
        <v>2022 (Σεπτ)</v>
      </c>
      <c r="P82" s="373"/>
      <c r="Q82" s="374"/>
      <c r="R82" s="372">
        <f>$C$3-1</f>
        <v>2022</v>
      </c>
      <c r="S82" s="373"/>
      <c r="T82" s="374"/>
      <c r="U82" s="390"/>
      <c r="V82" s="399"/>
      <c r="X82" s="372">
        <f>$C$3</f>
        <v>2023</v>
      </c>
      <c r="Y82" s="373"/>
      <c r="Z82" s="373"/>
      <c r="AA82" s="373"/>
      <c r="AB82" s="374"/>
      <c r="AC82" s="372">
        <f>$C$3+1</f>
        <v>2024</v>
      </c>
      <c r="AD82" s="373"/>
      <c r="AE82" s="373"/>
      <c r="AF82" s="373"/>
      <c r="AG82" s="374"/>
      <c r="AH82" s="372">
        <f>$C$3+2</f>
        <v>2025</v>
      </c>
      <c r="AI82" s="373"/>
      <c r="AJ82" s="373"/>
      <c r="AK82" s="373"/>
      <c r="AL82" s="374"/>
      <c r="AM82" s="372">
        <f>$C$3+3</f>
        <v>2026</v>
      </c>
      <c r="AN82" s="373"/>
      <c r="AO82" s="373"/>
      <c r="AP82" s="373"/>
      <c r="AQ82" s="374"/>
      <c r="AR82" s="372">
        <f>$C$3+4</f>
        <v>2027</v>
      </c>
      <c r="AS82" s="373"/>
      <c r="AT82" s="373"/>
      <c r="AU82" s="373"/>
      <c r="AV82" s="374"/>
      <c r="AW82" s="376" t="str">
        <f>X82&amp;" - "&amp;AR82</f>
        <v>2023 - 2027</v>
      </c>
      <c r="AX82" s="392"/>
    </row>
    <row r="83" spans="1:50" ht="45" outlineLevel="1" x14ac:dyDescent="0.25">
      <c r="B83" s="395"/>
      <c r="C83" s="396"/>
      <c r="D83" s="67" t="s">
        <v>6</v>
      </c>
      <c r="E83" s="68" t="s">
        <v>7</v>
      </c>
      <c r="F83" s="67" t="s">
        <v>6</v>
      </c>
      <c r="G83" s="9" t="s">
        <v>7</v>
      </c>
      <c r="H83" s="68" t="s">
        <v>81</v>
      </c>
      <c r="I83" s="67" t="s">
        <v>6</v>
      </c>
      <c r="J83" s="9" t="s">
        <v>7</v>
      </c>
      <c r="K83" s="68" t="s">
        <v>81</v>
      </c>
      <c r="L83" s="67" t="s">
        <v>6</v>
      </c>
      <c r="M83" s="9" t="s">
        <v>7</v>
      </c>
      <c r="N83" s="68" t="s">
        <v>81</v>
      </c>
      <c r="O83" s="67" t="s">
        <v>6</v>
      </c>
      <c r="P83" s="9" t="s">
        <v>7</v>
      </c>
      <c r="Q83" s="68" t="s">
        <v>81</v>
      </c>
      <c r="R83" s="67" t="s">
        <v>6</v>
      </c>
      <c r="S83" s="9" t="s">
        <v>7</v>
      </c>
      <c r="T83" s="68" t="s">
        <v>81</v>
      </c>
      <c r="U83" s="67" t="s">
        <v>17</v>
      </c>
      <c r="V83" s="132" t="s">
        <v>83</v>
      </c>
      <c r="X83" s="67" t="s">
        <v>6</v>
      </c>
      <c r="Y83" s="117" t="s">
        <v>88</v>
      </c>
      <c r="Z83" s="117" t="s">
        <v>89</v>
      </c>
      <c r="AA83" s="9" t="s">
        <v>7</v>
      </c>
      <c r="AB83" s="68" t="s">
        <v>81</v>
      </c>
      <c r="AC83" s="67" t="s">
        <v>6</v>
      </c>
      <c r="AD83" s="117" t="s">
        <v>88</v>
      </c>
      <c r="AE83" s="117" t="s">
        <v>89</v>
      </c>
      <c r="AF83" s="9" t="s">
        <v>7</v>
      </c>
      <c r="AG83" s="68" t="s">
        <v>81</v>
      </c>
      <c r="AH83" s="67" t="s">
        <v>6</v>
      </c>
      <c r="AI83" s="117" t="s">
        <v>88</v>
      </c>
      <c r="AJ83" s="117" t="s">
        <v>89</v>
      </c>
      <c r="AK83" s="9" t="s">
        <v>7</v>
      </c>
      <c r="AL83" s="68" t="s">
        <v>81</v>
      </c>
      <c r="AM83" s="67" t="s">
        <v>6</v>
      </c>
      <c r="AN83" s="117" t="s">
        <v>88</v>
      </c>
      <c r="AO83" s="117" t="s">
        <v>89</v>
      </c>
      <c r="AP83" s="9" t="s">
        <v>7</v>
      </c>
      <c r="AQ83" s="68" t="s">
        <v>81</v>
      </c>
      <c r="AR83" s="67" t="s">
        <v>6</v>
      </c>
      <c r="AS83" s="117" t="s">
        <v>88</v>
      </c>
      <c r="AT83" s="117" t="s">
        <v>89</v>
      </c>
      <c r="AU83" s="9" t="s">
        <v>7</v>
      </c>
      <c r="AV83" s="68" t="s">
        <v>81</v>
      </c>
      <c r="AW83" s="67" t="s">
        <v>17</v>
      </c>
      <c r="AX83" s="132" t="s">
        <v>83</v>
      </c>
    </row>
    <row r="84" spans="1:50" outlineLevel="1" x14ac:dyDescent="0.25">
      <c r="B84" s="281" t="s">
        <v>283</v>
      </c>
      <c r="C84" s="64" t="s">
        <v>22</v>
      </c>
      <c r="D84" s="71"/>
      <c r="E84" s="72"/>
      <c r="F84" s="71"/>
      <c r="G84" s="167">
        <f t="shared" ref="G84:G92" si="283">E84+F84</f>
        <v>0</v>
      </c>
      <c r="H84" s="203">
        <f t="shared" ref="H84:H98" si="284">IFERROR((G84-E84)/E84,0)</f>
        <v>0</v>
      </c>
      <c r="I84" s="71"/>
      <c r="J84" s="167">
        <f t="shared" ref="J84:J92" si="285">G84+I84</f>
        <v>0</v>
      </c>
      <c r="K84" s="203">
        <f t="shared" ref="K84:K98" si="286">IFERROR((J84-G84)/G84,0)</f>
        <v>0</v>
      </c>
      <c r="L84" s="71"/>
      <c r="M84" s="167">
        <f t="shared" ref="M84:M92" si="287">J84+L84</f>
        <v>0</v>
      </c>
      <c r="N84" s="203">
        <f t="shared" ref="N84:N98" si="288">IFERROR((M84-J84)/J84,0)</f>
        <v>0</v>
      </c>
      <c r="O84" s="71">
        <f>'Ενεργές συνδέσεις'!O84</f>
        <v>4</v>
      </c>
      <c r="P84" s="33"/>
      <c r="Q84" s="157"/>
      <c r="R84" s="71">
        <f>'Ενεργές συνδέσεις'!R84</f>
        <v>4</v>
      </c>
      <c r="S84" s="167">
        <f t="shared" ref="S84:S92" si="289">M84+R84</f>
        <v>4</v>
      </c>
      <c r="T84" s="203">
        <f t="shared" ref="T84:T98" si="290">IFERROR((S84-M84)/M84,0)</f>
        <v>0</v>
      </c>
      <c r="U84" s="198">
        <f t="shared" ref="U84:U98" si="291">D84+F84+I84+L84+R84</f>
        <v>4</v>
      </c>
      <c r="V84" s="199">
        <f t="shared" ref="V84:V98" si="292">IFERROR((S84/E84)^(1/4)-1,0)</f>
        <v>0</v>
      </c>
      <c r="X84" s="206">
        <f>Y84+Z84</f>
        <v>29</v>
      </c>
      <c r="Y84" s="6">
        <f>'Ενεργές συνδέσεις'!Y84</f>
        <v>29</v>
      </c>
      <c r="Z84" s="6">
        <f>'Ενεργές συνδέσεις'!Z84</f>
        <v>0</v>
      </c>
      <c r="AA84" s="167">
        <f t="shared" ref="AA84:AA92" si="293">S84+X84</f>
        <v>33</v>
      </c>
      <c r="AB84" s="203">
        <f t="shared" ref="AB84:AB98" si="294">IFERROR((AA84-S84)/S84,0)</f>
        <v>7.25</v>
      </c>
      <c r="AC84" s="206">
        <f>AD84+AE84</f>
        <v>23</v>
      </c>
      <c r="AD84" s="6">
        <f>'Ενεργές συνδέσεις'!AD84</f>
        <v>23</v>
      </c>
      <c r="AE84" s="6">
        <f>'Ενεργές συνδέσεις'!AE84</f>
        <v>0</v>
      </c>
      <c r="AF84" s="167">
        <f t="shared" ref="AF84:AF92" si="295">AA84+AC84</f>
        <v>56</v>
      </c>
      <c r="AG84" s="190">
        <f t="shared" ref="AG84:AG98" si="296">IFERROR((AF84-AA84)/AA84,0)</f>
        <v>0.69696969696969702</v>
      </c>
      <c r="AH84" s="206">
        <f>AI84+AJ84</f>
        <v>0</v>
      </c>
      <c r="AI84" s="6">
        <f>'Ενεργές συνδέσεις'!AI84</f>
        <v>0</v>
      </c>
      <c r="AJ84" s="6">
        <f>'Ενεργές συνδέσεις'!AJ84</f>
        <v>0</v>
      </c>
      <c r="AK84" s="167">
        <f t="shared" ref="AK84:AK92" si="297">AF84+AH84</f>
        <v>56</v>
      </c>
      <c r="AL84" s="190">
        <f t="shared" ref="AL84:AL98" si="298">IFERROR((AK84-AF84)/AF84,0)</f>
        <v>0</v>
      </c>
      <c r="AM84" s="206">
        <f>AN84+AO84</f>
        <v>0</v>
      </c>
      <c r="AN84" s="6">
        <f>'Ενεργές συνδέσεις'!AN84</f>
        <v>0</v>
      </c>
      <c r="AO84" s="6">
        <f>'Ενεργές συνδέσεις'!AO84</f>
        <v>0</v>
      </c>
      <c r="AP84" s="167">
        <f t="shared" ref="AP84:AP92" si="299">AK84+AM84</f>
        <v>56</v>
      </c>
      <c r="AQ84" s="190">
        <f t="shared" ref="AQ84:AQ98" si="300">IFERROR((AP84-AK84)/AK84,0)</f>
        <v>0</v>
      </c>
      <c r="AR84" s="206">
        <f>AS84+AT84</f>
        <v>0</v>
      </c>
      <c r="AS84" s="6">
        <f>'Ενεργές συνδέσεις'!AS84</f>
        <v>0</v>
      </c>
      <c r="AT84" s="6">
        <f>'Ενεργές συνδέσεις'!AT84</f>
        <v>0</v>
      </c>
      <c r="AU84" s="167">
        <f t="shared" ref="AU84:AU92" si="301">AP84+AR84</f>
        <v>56</v>
      </c>
      <c r="AV84" s="190">
        <f t="shared" ref="AV84:AV98" si="302">IFERROR((AU84-AP84)/AP84,0)</f>
        <v>0</v>
      </c>
      <c r="AW84" s="198">
        <f t="shared" ref="AW84:AW92" si="303">X84+AC84+AH84+AM84+AR84</f>
        <v>52</v>
      </c>
      <c r="AX84" s="199">
        <f t="shared" ref="AX84:AX98" si="304">IFERROR((AU84/AA84)^(1/4)-1,0)</f>
        <v>0.14134915541119986</v>
      </c>
    </row>
    <row r="85" spans="1:50" s="55" customFormat="1" outlineLevel="1" x14ac:dyDescent="0.25">
      <c r="A85"/>
      <c r="B85" s="52" t="s">
        <v>284</v>
      </c>
      <c r="C85" s="64" t="s">
        <v>22</v>
      </c>
      <c r="D85" s="73"/>
      <c r="E85" s="74"/>
      <c r="F85" s="73"/>
      <c r="G85" s="167">
        <f t="shared" si="283"/>
        <v>0</v>
      </c>
      <c r="H85" s="203">
        <f t="shared" si="284"/>
        <v>0</v>
      </c>
      <c r="I85" s="73"/>
      <c r="J85" s="167">
        <f t="shared" si="285"/>
        <v>0</v>
      </c>
      <c r="K85" s="203">
        <f t="shared" si="286"/>
        <v>0</v>
      </c>
      <c r="L85" s="73"/>
      <c r="M85" s="167">
        <f t="shared" si="287"/>
        <v>0</v>
      </c>
      <c r="N85" s="203">
        <f t="shared" si="288"/>
        <v>0</v>
      </c>
      <c r="O85" s="71">
        <f>'Ενεργές συνδέσεις'!O85</f>
        <v>0</v>
      </c>
      <c r="P85" s="151"/>
      <c r="Q85" s="154"/>
      <c r="R85" s="71">
        <f>'Ενεργές συνδέσεις'!R85</f>
        <v>0</v>
      </c>
      <c r="S85" s="167">
        <f t="shared" si="289"/>
        <v>0</v>
      </c>
      <c r="T85" s="203">
        <f t="shared" si="290"/>
        <v>0</v>
      </c>
      <c r="U85" s="198">
        <f t="shared" si="291"/>
        <v>0</v>
      </c>
      <c r="V85" s="199">
        <f t="shared" si="292"/>
        <v>0</v>
      </c>
      <c r="W85"/>
      <c r="X85" s="206">
        <f t="shared" ref="X85:X92" si="305">Y85+Z85</f>
        <v>46</v>
      </c>
      <c r="Y85" s="6">
        <f>'Ενεργές συνδέσεις'!Y85</f>
        <v>0</v>
      </c>
      <c r="Z85" s="6">
        <f>'Ενεργές συνδέσεις'!Z85</f>
        <v>46</v>
      </c>
      <c r="AA85" s="167">
        <f t="shared" si="293"/>
        <v>46</v>
      </c>
      <c r="AB85" s="203">
        <f t="shared" si="294"/>
        <v>0</v>
      </c>
      <c r="AC85" s="206">
        <f t="shared" ref="AC85:AC92" si="306">AD85+AE85</f>
        <v>26</v>
      </c>
      <c r="AD85" s="6">
        <f>'Ενεργές συνδέσεις'!AD85</f>
        <v>26</v>
      </c>
      <c r="AE85" s="6">
        <f>'Ενεργές συνδέσεις'!AE85</f>
        <v>0</v>
      </c>
      <c r="AF85" s="167">
        <f t="shared" si="295"/>
        <v>72</v>
      </c>
      <c r="AG85" s="190">
        <f t="shared" si="296"/>
        <v>0.56521739130434778</v>
      </c>
      <c r="AH85" s="206">
        <f t="shared" ref="AH85:AH92" si="307">AI85+AJ85</f>
        <v>10</v>
      </c>
      <c r="AI85" s="6">
        <f>'Ενεργές συνδέσεις'!AI85</f>
        <v>10</v>
      </c>
      <c r="AJ85" s="6">
        <f>'Ενεργές συνδέσεις'!AJ85</f>
        <v>0</v>
      </c>
      <c r="AK85" s="167">
        <f t="shared" si="297"/>
        <v>82</v>
      </c>
      <c r="AL85" s="190">
        <f t="shared" si="298"/>
        <v>0.1388888888888889</v>
      </c>
      <c r="AM85" s="206">
        <f t="shared" ref="AM85:AM92" si="308">AN85+AO85</f>
        <v>0</v>
      </c>
      <c r="AN85" s="6">
        <f>'Ενεργές συνδέσεις'!AN85</f>
        <v>0</v>
      </c>
      <c r="AO85" s="6">
        <f>'Ενεργές συνδέσεις'!AO85</f>
        <v>0</v>
      </c>
      <c r="AP85" s="167">
        <f t="shared" si="299"/>
        <v>82</v>
      </c>
      <c r="AQ85" s="190">
        <f t="shared" si="300"/>
        <v>0</v>
      </c>
      <c r="AR85" s="206">
        <f t="shared" ref="AR85:AR92" si="309">AS85+AT85</f>
        <v>0</v>
      </c>
      <c r="AS85" s="6">
        <f>'Ενεργές συνδέσεις'!AS85</f>
        <v>0</v>
      </c>
      <c r="AT85" s="6">
        <f>'Ενεργές συνδέσεις'!AT85</f>
        <v>0</v>
      </c>
      <c r="AU85" s="167">
        <f t="shared" si="301"/>
        <v>82</v>
      </c>
      <c r="AV85" s="190">
        <f t="shared" si="302"/>
        <v>0</v>
      </c>
      <c r="AW85" s="198">
        <f t="shared" si="303"/>
        <v>82</v>
      </c>
      <c r="AX85" s="199">
        <f t="shared" si="304"/>
        <v>0.15548418357975113</v>
      </c>
    </row>
    <row r="86" spans="1:50" s="55" customFormat="1" outlineLevel="1" x14ac:dyDescent="0.25">
      <c r="A86"/>
      <c r="B86" s="52" t="s">
        <v>285</v>
      </c>
      <c r="C86" s="64" t="s">
        <v>22</v>
      </c>
      <c r="D86" s="73"/>
      <c r="E86" s="74"/>
      <c r="F86" s="73"/>
      <c r="G86" s="167">
        <f t="shared" si="283"/>
        <v>0</v>
      </c>
      <c r="H86" s="203">
        <f t="shared" si="284"/>
        <v>0</v>
      </c>
      <c r="I86" s="73"/>
      <c r="J86" s="167">
        <f t="shared" si="285"/>
        <v>0</v>
      </c>
      <c r="K86" s="203">
        <f t="shared" si="286"/>
        <v>0</v>
      </c>
      <c r="L86" s="73"/>
      <c r="M86" s="167">
        <f t="shared" si="287"/>
        <v>0</v>
      </c>
      <c r="N86" s="203">
        <f t="shared" si="288"/>
        <v>0</v>
      </c>
      <c r="O86" s="71">
        <f>'Ενεργές συνδέσεις'!O86</f>
        <v>0</v>
      </c>
      <c r="P86" s="151"/>
      <c r="Q86" s="154"/>
      <c r="R86" s="71">
        <f>'Ενεργές συνδέσεις'!R86</f>
        <v>0</v>
      </c>
      <c r="S86" s="167">
        <f t="shared" si="289"/>
        <v>0</v>
      </c>
      <c r="T86" s="203">
        <f t="shared" si="290"/>
        <v>0</v>
      </c>
      <c r="U86" s="198">
        <f t="shared" si="291"/>
        <v>0</v>
      </c>
      <c r="V86" s="199">
        <f t="shared" si="292"/>
        <v>0</v>
      </c>
      <c r="W86"/>
      <c r="X86" s="206">
        <f t="shared" si="305"/>
        <v>54</v>
      </c>
      <c r="Y86" s="6">
        <f>'Ενεργές συνδέσεις'!Y86</f>
        <v>0</v>
      </c>
      <c r="Z86" s="6">
        <f>'Ενεργές συνδέσεις'!Z86</f>
        <v>54</v>
      </c>
      <c r="AA86" s="167">
        <f t="shared" si="293"/>
        <v>54</v>
      </c>
      <c r="AB86" s="203">
        <f t="shared" si="294"/>
        <v>0</v>
      </c>
      <c r="AC86" s="206">
        <f t="shared" si="306"/>
        <v>21</v>
      </c>
      <c r="AD86" s="6">
        <f>'Ενεργές συνδέσεις'!AD86</f>
        <v>21</v>
      </c>
      <c r="AE86" s="6">
        <f>'Ενεργές συνδέσεις'!AE86</f>
        <v>0</v>
      </c>
      <c r="AF86" s="167">
        <f t="shared" si="295"/>
        <v>75</v>
      </c>
      <c r="AG86" s="190">
        <f t="shared" si="296"/>
        <v>0.3888888888888889</v>
      </c>
      <c r="AH86" s="206">
        <f t="shared" si="307"/>
        <v>13</v>
      </c>
      <c r="AI86" s="6">
        <f>'Ενεργές συνδέσεις'!AI86</f>
        <v>13</v>
      </c>
      <c r="AJ86" s="6">
        <f>'Ενεργές συνδέσεις'!AJ86</f>
        <v>0</v>
      </c>
      <c r="AK86" s="167">
        <f t="shared" si="297"/>
        <v>88</v>
      </c>
      <c r="AL86" s="190">
        <f t="shared" si="298"/>
        <v>0.17333333333333334</v>
      </c>
      <c r="AM86" s="206">
        <f t="shared" si="308"/>
        <v>5</v>
      </c>
      <c r="AN86" s="6">
        <f>'Ενεργές συνδέσεις'!AN86</f>
        <v>5</v>
      </c>
      <c r="AO86" s="6">
        <f>'Ενεργές συνδέσεις'!AO86</f>
        <v>0</v>
      </c>
      <c r="AP86" s="167">
        <f t="shared" si="299"/>
        <v>93</v>
      </c>
      <c r="AQ86" s="190">
        <f t="shared" si="300"/>
        <v>5.6818181818181816E-2</v>
      </c>
      <c r="AR86" s="206">
        <f t="shared" si="309"/>
        <v>5</v>
      </c>
      <c r="AS86" s="6">
        <f>'Ενεργές συνδέσεις'!AS86</f>
        <v>5</v>
      </c>
      <c r="AT86" s="6">
        <f>'Ενεργές συνδέσεις'!AT86</f>
        <v>0</v>
      </c>
      <c r="AU86" s="167">
        <f t="shared" si="301"/>
        <v>98</v>
      </c>
      <c r="AV86" s="190">
        <f t="shared" si="302"/>
        <v>5.3763440860215055E-2</v>
      </c>
      <c r="AW86" s="198">
        <f t="shared" si="303"/>
        <v>98</v>
      </c>
      <c r="AX86" s="199">
        <f t="shared" si="304"/>
        <v>0.16066818174236475</v>
      </c>
    </row>
    <row r="87" spans="1:50" outlineLevel="1" x14ac:dyDescent="0.25">
      <c r="B87" s="52" t="s">
        <v>286</v>
      </c>
      <c r="C87" s="64" t="s">
        <v>22</v>
      </c>
      <c r="D87" s="71"/>
      <c r="E87" s="72"/>
      <c r="F87" s="71"/>
      <c r="G87" s="167">
        <f t="shared" si="283"/>
        <v>0</v>
      </c>
      <c r="H87" s="203">
        <f t="shared" si="284"/>
        <v>0</v>
      </c>
      <c r="I87" s="71"/>
      <c r="J87" s="167">
        <f t="shared" si="285"/>
        <v>0</v>
      </c>
      <c r="K87" s="203">
        <f t="shared" si="286"/>
        <v>0</v>
      </c>
      <c r="L87" s="71"/>
      <c r="M87" s="167">
        <f t="shared" si="287"/>
        <v>0</v>
      </c>
      <c r="N87" s="203">
        <f t="shared" si="288"/>
        <v>0</v>
      </c>
      <c r="O87" s="71">
        <f>'Ενεργές συνδέσεις'!O87</f>
        <v>0</v>
      </c>
      <c r="P87" s="33"/>
      <c r="Q87" s="157"/>
      <c r="R87" s="71">
        <f>'Ενεργές συνδέσεις'!R87</f>
        <v>0</v>
      </c>
      <c r="S87" s="167">
        <f t="shared" si="289"/>
        <v>0</v>
      </c>
      <c r="T87" s="203">
        <f t="shared" si="290"/>
        <v>0</v>
      </c>
      <c r="U87" s="198">
        <f t="shared" si="291"/>
        <v>0</v>
      </c>
      <c r="V87" s="199">
        <f t="shared" si="292"/>
        <v>0</v>
      </c>
      <c r="X87" s="206">
        <f t="shared" si="305"/>
        <v>35</v>
      </c>
      <c r="Y87" s="6">
        <f>'Ενεργές συνδέσεις'!Y87</f>
        <v>0</v>
      </c>
      <c r="Z87" s="6">
        <f>'Ενεργές συνδέσεις'!Z87</f>
        <v>35</v>
      </c>
      <c r="AA87" s="167">
        <f t="shared" si="293"/>
        <v>35</v>
      </c>
      <c r="AB87" s="203">
        <f t="shared" si="294"/>
        <v>0</v>
      </c>
      <c r="AC87" s="206">
        <f t="shared" si="306"/>
        <v>68</v>
      </c>
      <c r="AD87" s="6">
        <f>'Ενεργές συνδέσεις'!AD87</f>
        <v>68</v>
      </c>
      <c r="AE87" s="6">
        <f>'Ενεργές συνδέσεις'!AE87</f>
        <v>0</v>
      </c>
      <c r="AF87" s="167">
        <f t="shared" si="295"/>
        <v>103</v>
      </c>
      <c r="AG87" s="190">
        <f t="shared" si="296"/>
        <v>1.9428571428571428</v>
      </c>
      <c r="AH87" s="206">
        <f t="shared" si="307"/>
        <v>4</v>
      </c>
      <c r="AI87" s="6">
        <f>'Ενεργές συνδέσεις'!AI87</f>
        <v>4</v>
      </c>
      <c r="AJ87" s="6">
        <f>'Ενεργές συνδέσεις'!AJ87</f>
        <v>0</v>
      </c>
      <c r="AK87" s="167">
        <f t="shared" si="297"/>
        <v>107</v>
      </c>
      <c r="AL87" s="190">
        <f t="shared" si="298"/>
        <v>3.8834951456310676E-2</v>
      </c>
      <c r="AM87" s="206">
        <f t="shared" si="308"/>
        <v>20</v>
      </c>
      <c r="AN87" s="6">
        <f>'Ενεργές συνδέσεις'!AN87</f>
        <v>20</v>
      </c>
      <c r="AO87" s="6">
        <f>'Ενεργές συνδέσεις'!AO87</f>
        <v>0</v>
      </c>
      <c r="AP87" s="167">
        <f t="shared" si="299"/>
        <v>127</v>
      </c>
      <c r="AQ87" s="190">
        <f t="shared" si="300"/>
        <v>0.18691588785046728</v>
      </c>
      <c r="AR87" s="206">
        <f t="shared" si="309"/>
        <v>20</v>
      </c>
      <c r="AS87" s="6">
        <f>'Ενεργές συνδέσεις'!AS87</f>
        <v>20</v>
      </c>
      <c r="AT87" s="6">
        <f>'Ενεργές συνδέσεις'!AT87</f>
        <v>0</v>
      </c>
      <c r="AU87" s="167">
        <f t="shared" si="301"/>
        <v>147</v>
      </c>
      <c r="AV87" s="190">
        <f t="shared" si="302"/>
        <v>0.15748031496062992</v>
      </c>
      <c r="AW87" s="198">
        <f t="shared" si="303"/>
        <v>147</v>
      </c>
      <c r="AX87" s="199">
        <f t="shared" si="304"/>
        <v>0.43156912274326453</v>
      </c>
    </row>
    <row r="88" spans="1:50" s="55" customFormat="1" outlineLevel="1" x14ac:dyDescent="0.25">
      <c r="A88"/>
      <c r="B88" s="52" t="s">
        <v>287</v>
      </c>
      <c r="C88" s="64" t="s">
        <v>22</v>
      </c>
      <c r="D88" s="73"/>
      <c r="E88" s="74"/>
      <c r="F88" s="73"/>
      <c r="G88" s="167">
        <f t="shared" si="283"/>
        <v>0</v>
      </c>
      <c r="H88" s="203">
        <f t="shared" si="284"/>
        <v>0</v>
      </c>
      <c r="I88" s="73"/>
      <c r="J88" s="167">
        <f t="shared" si="285"/>
        <v>0</v>
      </c>
      <c r="K88" s="203">
        <f t="shared" si="286"/>
        <v>0</v>
      </c>
      <c r="L88" s="73"/>
      <c r="M88" s="167">
        <f t="shared" si="287"/>
        <v>0</v>
      </c>
      <c r="N88" s="203">
        <f t="shared" si="288"/>
        <v>0</v>
      </c>
      <c r="O88" s="71">
        <f>'Ενεργές συνδέσεις'!O88</f>
        <v>0</v>
      </c>
      <c r="P88" s="151"/>
      <c r="Q88" s="154"/>
      <c r="R88" s="71">
        <f>'Ενεργές συνδέσεις'!R88</f>
        <v>0</v>
      </c>
      <c r="S88" s="167">
        <f t="shared" si="289"/>
        <v>0</v>
      </c>
      <c r="T88" s="203">
        <f t="shared" si="290"/>
        <v>0</v>
      </c>
      <c r="U88" s="198">
        <f t="shared" si="291"/>
        <v>0</v>
      </c>
      <c r="V88" s="199">
        <f t="shared" si="292"/>
        <v>0</v>
      </c>
      <c r="W88"/>
      <c r="X88" s="206">
        <f t="shared" si="305"/>
        <v>0</v>
      </c>
      <c r="Y88" s="6">
        <f>'Ενεργές συνδέσεις'!Y88</f>
        <v>0</v>
      </c>
      <c r="Z88" s="6">
        <f>'Ενεργές συνδέσεις'!Z88</f>
        <v>0</v>
      </c>
      <c r="AA88" s="167">
        <f t="shared" si="293"/>
        <v>0</v>
      </c>
      <c r="AB88" s="203">
        <f t="shared" si="294"/>
        <v>0</v>
      </c>
      <c r="AC88" s="206">
        <f t="shared" si="306"/>
        <v>184</v>
      </c>
      <c r="AD88" s="6">
        <f>'Ενεργές συνδέσεις'!AD88</f>
        <v>184</v>
      </c>
      <c r="AE88" s="6">
        <f>'Ενεργές συνδέσεις'!AE88</f>
        <v>0</v>
      </c>
      <c r="AF88" s="167">
        <f t="shared" si="295"/>
        <v>184</v>
      </c>
      <c r="AG88" s="190">
        <f t="shared" si="296"/>
        <v>0</v>
      </c>
      <c r="AH88" s="206">
        <f t="shared" si="307"/>
        <v>57</v>
      </c>
      <c r="AI88" s="6">
        <f>'Ενεργές συνδέσεις'!AI88</f>
        <v>57</v>
      </c>
      <c r="AJ88" s="6">
        <f>'Ενεργές συνδέσεις'!AJ88</f>
        <v>0</v>
      </c>
      <c r="AK88" s="167">
        <f t="shared" si="297"/>
        <v>241</v>
      </c>
      <c r="AL88" s="190">
        <f t="shared" si="298"/>
        <v>0.30978260869565216</v>
      </c>
      <c r="AM88" s="206">
        <f t="shared" si="308"/>
        <v>10</v>
      </c>
      <c r="AN88" s="6">
        <f>'Ενεργές συνδέσεις'!AN88</f>
        <v>10</v>
      </c>
      <c r="AO88" s="6">
        <f>'Ενεργές συνδέσεις'!AO88</f>
        <v>0</v>
      </c>
      <c r="AP88" s="167">
        <f t="shared" si="299"/>
        <v>251</v>
      </c>
      <c r="AQ88" s="190">
        <f t="shared" si="300"/>
        <v>4.1493775933609957E-2</v>
      </c>
      <c r="AR88" s="206">
        <f t="shared" si="309"/>
        <v>10</v>
      </c>
      <c r="AS88" s="6">
        <f>'Ενεργές συνδέσεις'!AS88</f>
        <v>10</v>
      </c>
      <c r="AT88" s="6">
        <f>'Ενεργές συνδέσεις'!AT88</f>
        <v>0</v>
      </c>
      <c r="AU88" s="167">
        <f t="shared" si="301"/>
        <v>261</v>
      </c>
      <c r="AV88" s="190">
        <f t="shared" si="302"/>
        <v>3.9840637450199202E-2</v>
      </c>
      <c r="AW88" s="198">
        <f t="shared" si="303"/>
        <v>261</v>
      </c>
      <c r="AX88" s="199">
        <f t="shared" si="304"/>
        <v>0</v>
      </c>
    </row>
    <row r="89" spans="1:50" outlineLevel="1" x14ac:dyDescent="0.25">
      <c r="B89" s="52" t="s">
        <v>288</v>
      </c>
      <c r="C89" s="64" t="s">
        <v>22</v>
      </c>
      <c r="D89" s="71"/>
      <c r="E89" s="72"/>
      <c r="F89" s="71"/>
      <c r="G89" s="167">
        <f t="shared" si="283"/>
        <v>0</v>
      </c>
      <c r="H89" s="203">
        <f t="shared" si="284"/>
        <v>0</v>
      </c>
      <c r="I89" s="71"/>
      <c r="J89" s="167">
        <f t="shared" si="285"/>
        <v>0</v>
      </c>
      <c r="K89" s="203">
        <f t="shared" si="286"/>
        <v>0</v>
      </c>
      <c r="L89" s="71"/>
      <c r="M89" s="167">
        <f t="shared" si="287"/>
        <v>0</v>
      </c>
      <c r="N89" s="203">
        <f t="shared" si="288"/>
        <v>0</v>
      </c>
      <c r="O89" s="71">
        <f>'Ενεργές συνδέσεις'!O89</f>
        <v>0</v>
      </c>
      <c r="P89" s="33"/>
      <c r="Q89" s="157"/>
      <c r="R89" s="71">
        <f>'Ενεργές συνδέσεις'!R89</f>
        <v>0</v>
      </c>
      <c r="S89" s="167">
        <f t="shared" si="289"/>
        <v>0</v>
      </c>
      <c r="T89" s="203">
        <f t="shared" si="290"/>
        <v>0</v>
      </c>
      <c r="U89" s="198">
        <f t="shared" si="291"/>
        <v>0</v>
      </c>
      <c r="V89" s="199">
        <f t="shared" si="292"/>
        <v>0</v>
      </c>
      <c r="X89" s="206">
        <f t="shared" si="305"/>
        <v>72</v>
      </c>
      <c r="Y89" s="6">
        <f>'Ενεργές συνδέσεις'!Y89</f>
        <v>0</v>
      </c>
      <c r="Z89" s="6">
        <f>'Ενεργές συνδέσεις'!Z89</f>
        <v>72</v>
      </c>
      <c r="AA89" s="167">
        <f t="shared" si="293"/>
        <v>72</v>
      </c>
      <c r="AB89" s="203">
        <f t="shared" si="294"/>
        <v>0</v>
      </c>
      <c r="AC89" s="206">
        <f t="shared" si="306"/>
        <v>7</v>
      </c>
      <c r="AD89" s="6">
        <f>'Ενεργές συνδέσεις'!AD89</f>
        <v>7</v>
      </c>
      <c r="AE89" s="6">
        <f>'Ενεργές συνδέσεις'!AE89</f>
        <v>0</v>
      </c>
      <c r="AF89" s="167">
        <f t="shared" si="295"/>
        <v>79</v>
      </c>
      <c r="AG89" s="190">
        <f t="shared" si="296"/>
        <v>9.7222222222222224E-2</v>
      </c>
      <c r="AH89" s="206">
        <f t="shared" si="307"/>
        <v>11</v>
      </c>
      <c r="AI89" s="6">
        <f>'Ενεργές συνδέσεις'!AI89</f>
        <v>11</v>
      </c>
      <c r="AJ89" s="6">
        <f>'Ενεργές συνδέσεις'!AJ89</f>
        <v>0</v>
      </c>
      <c r="AK89" s="167">
        <f t="shared" si="297"/>
        <v>90</v>
      </c>
      <c r="AL89" s="190">
        <f t="shared" si="298"/>
        <v>0.13924050632911392</v>
      </c>
      <c r="AM89" s="206">
        <f t="shared" si="308"/>
        <v>3</v>
      </c>
      <c r="AN89" s="6">
        <f>'Ενεργές συνδέσεις'!AN89</f>
        <v>3</v>
      </c>
      <c r="AO89" s="6">
        <f>'Ενεργές συνδέσεις'!AO89</f>
        <v>0</v>
      </c>
      <c r="AP89" s="167">
        <f t="shared" si="299"/>
        <v>93</v>
      </c>
      <c r="AQ89" s="190">
        <f t="shared" si="300"/>
        <v>3.3333333333333333E-2</v>
      </c>
      <c r="AR89" s="206">
        <f t="shared" si="309"/>
        <v>3</v>
      </c>
      <c r="AS89" s="6">
        <f>'Ενεργές συνδέσεις'!AS89</f>
        <v>3</v>
      </c>
      <c r="AT89" s="6">
        <f>'Ενεργές συνδέσεις'!AT89</f>
        <v>0</v>
      </c>
      <c r="AU89" s="167">
        <f t="shared" si="301"/>
        <v>96</v>
      </c>
      <c r="AV89" s="190">
        <f t="shared" si="302"/>
        <v>3.2258064516129031E-2</v>
      </c>
      <c r="AW89" s="198">
        <f t="shared" si="303"/>
        <v>96</v>
      </c>
      <c r="AX89" s="199">
        <f t="shared" si="304"/>
        <v>7.4569931823541991E-2</v>
      </c>
    </row>
    <row r="90" spans="1:50" ht="16.5" customHeight="1" outlineLevel="1" x14ac:dyDescent="0.25">
      <c r="B90" s="52" t="s">
        <v>289</v>
      </c>
      <c r="C90" s="64" t="s">
        <v>22</v>
      </c>
      <c r="D90" s="71"/>
      <c r="E90" s="72"/>
      <c r="F90" s="71"/>
      <c r="G90" s="167">
        <f t="shared" si="283"/>
        <v>0</v>
      </c>
      <c r="H90" s="203">
        <f t="shared" si="284"/>
        <v>0</v>
      </c>
      <c r="I90" s="71"/>
      <c r="J90" s="167">
        <f t="shared" si="285"/>
        <v>0</v>
      </c>
      <c r="K90" s="203">
        <f t="shared" si="286"/>
        <v>0</v>
      </c>
      <c r="L90" s="71"/>
      <c r="M90" s="167">
        <f t="shared" si="287"/>
        <v>0</v>
      </c>
      <c r="N90" s="203">
        <f t="shared" si="288"/>
        <v>0</v>
      </c>
      <c r="O90" s="71">
        <f>'Ενεργές συνδέσεις'!O90</f>
        <v>0</v>
      </c>
      <c r="P90" s="33"/>
      <c r="Q90" s="157"/>
      <c r="R90" s="71">
        <f>'Ενεργές συνδέσεις'!R90</f>
        <v>0</v>
      </c>
      <c r="S90" s="167">
        <f t="shared" si="289"/>
        <v>0</v>
      </c>
      <c r="T90" s="203">
        <f t="shared" si="290"/>
        <v>0</v>
      </c>
      <c r="U90" s="198">
        <f t="shared" si="291"/>
        <v>0</v>
      </c>
      <c r="V90" s="199">
        <f t="shared" si="292"/>
        <v>0</v>
      </c>
      <c r="X90" s="206">
        <f t="shared" si="305"/>
        <v>260</v>
      </c>
      <c r="Y90" s="6">
        <f>'Ενεργές συνδέσεις'!Y90</f>
        <v>0</v>
      </c>
      <c r="Z90" s="6">
        <f>'Ενεργές συνδέσεις'!Z90</f>
        <v>260</v>
      </c>
      <c r="AA90" s="167">
        <f t="shared" si="293"/>
        <v>260</v>
      </c>
      <c r="AB90" s="203">
        <f t="shared" si="294"/>
        <v>0</v>
      </c>
      <c r="AC90" s="206">
        <f t="shared" si="306"/>
        <v>218</v>
      </c>
      <c r="AD90" s="6">
        <f>'Ενεργές συνδέσεις'!AD90</f>
        <v>218</v>
      </c>
      <c r="AE90" s="6">
        <f>'Ενεργές συνδέσεις'!AE90</f>
        <v>0</v>
      </c>
      <c r="AF90" s="167">
        <f t="shared" si="295"/>
        <v>478</v>
      </c>
      <c r="AG90" s="190">
        <f t="shared" si="296"/>
        <v>0.83846153846153848</v>
      </c>
      <c r="AH90" s="206">
        <f t="shared" si="307"/>
        <v>47</v>
      </c>
      <c r="AI90" s="6">
        <f>'Ενεργές συνδέσεις'!AI90</f>
        <v>47</v>
      </c>
      <c r="AJ90" s="6">
        <f>'Ενεργές συνδέσεις'!AJ90</f>
        <v>0</v>
      </c>
      <c r="AK90" s="167">
        <f t="shared" si="297"/>
        <v>525</v>
      </c>
      <c r="AL90" s="190">
        <f t="shared" si="298"/>
        <v>9.832635983263599E-2</v>
      </c>
      <c r="AM90" s="206">
        <f t="shared" si="308"/>
        <v>20</v>
      </c>
      <c r="AN90" s="6">
        <f>'Ενεργές συνδέσεις'!AN90</f>
        <v>20</v>
      </c>
      <c r="AO90" s="6">
        <f>'Ενεργές συνδέσεις'!AO90</f>
        <v>0</v>
      </c>
      <c r="AP90" s="167">
        <f t="shared" si="299"/>
        <v>545</v>
      </c>
      <c r="AQ90" s="190">
        <f t="shared" si="300"/>
        <v>3.8095238095238099E-2</v>
      </c>
      <c r="AR90" s="206">
        <f t="shared" si="309"/>
        <v>20</v>
      </c>
      <c r="AS90" s="6">
        <f>'Ενεργές συνδέσεις'!AS90</f>
        <v>20</v>
      </c>
      <c r="AT90" s="6">
        <f>'Ενεργές συνδέσεις'!AT90</f>
        <v>0</v>
      </c>
      <c r="AU90" s="167">
        <f t="shared" si="301"/>
        <v>565</v>
      </c>
      <c r="AV90" s="190">
        <f t="shared" si="302"/>
        <v>3.669724770642202E-2</v>
      </c>
      <c r="AW90" s="198">
        <f t="shared" si="303"/>
        <v>565</v>
      </c>
      <c r="AX90" s="199">
        <f t="shared" si="304"/>
        <v>0.21414002160240031</v>
      </c>
    </row>
    <row r="91" spans="1:50" ht="16.5" customHeight="1" outlineLevel="1" x14ac:dyDescent="0.25">
      <c r="B91" s="52" t="s">
        <v>290</v>
      </c>
      <c r="C91" s="64" t="s">
        <v>22</v>
      </c>
      <c r="D91" s="71"/>
      <c r="E91" s="72"/>
      <c r="F91" s="71"/>
      <c r="G91" s="167">
        <f t="shared" si="283"/>
        <v>0</v>
      </c>
      <c r="H91" s="203">
        <f t="shared" si="284"/>
        <v>0</v>
      </c>
      <c r="I91" s="71"/>
      <c r="J91" s="167">
        <f t="shared" si="285"/>
        <v>0</v>
      </c>
      <c r="K91" s="203">
        <f t="shared" si="286"/>
        <v>0</v>
      </c>
      <c r="L91" s="71"/>
      <c r="M91" s="167">
        <f t="shared" si="287"/>
        <v>0</v>
      </c>
      <c r="N91" s="203">
        <f t="shared" si="288"/>
        <v>0</v>
      </c>
      <c r="O91" s="71">
        <f>'Ενεργές συνδέσεις'!O91</f>
        <v>0</v>
      </c>
      <c r="P91" s="33"/>
      <c r="Q91" s="157"/>
      <c r="R91" s="71">
        <f>'Ενεργές συνδέσεις'!R91</f>
        <v>0</v>
      </c>
      <c r="S91" s="167">
        <f t="shared" si="289"/>
        <v>0</v>
      </c>
      <c r="T91" s="203">
        <f t="shared" si="290"/>
        <v>0</v>
      </c>
      <c r="U91" s="198">
        <f t="shared" si="291"/>
        <v>0</v>
      </c>
      <c r="V91" s="199">
        <f t="shared" si="292"/>
        <v>0</v>
      </c>
      <c r="X91" s="206">
        <f t="shared" si="305"/>
        <v>114</v>
      </c>
      <c r="Y91" s="6">
        <f>'Ενεργές συνδέσεις'!Y91</f>
        <v>0</v>
      </c>
      <c r="Z91" s="6">
        <f>'Ενεργές συνδέσεις'!Z91</f>
        <v>114</v>
      </c>
      <c r="AA91" s="167">
        <f t="shared" si="293"/>
        <v>114</v>
      </c>
      <c r="AB91" s="203">
        <f t="shared" si="294"/>
        <v>0</v>
      </c>
      <c r="AC91" s="206">
        <f t="shared" si="306"/>
        <v>105</v>
      </c>
      <c r="AD91" s="6">
        <f>'Ενεργές συνδέσεις'!AD91</f>
        <v>105</v>
      </c>
      <c r="AE91" s="6">
        <f>'Ενεργές συνδέσεις'!AE91</f>
        <v>0</v>
      </c>
      <c r="AF91" s="167">
        <f t="shared" si="295"/>
        <v>219</v>
      </c>
      <c r="AG91" s="190">
        <f t="shared" si="296"/>
        <v>0.92105263157894735</v>
      </c>
      <c r="AH91" s="206">
        <f t="shared" si="307"/>
        <v>40</v>
      </c>
      <c r="AI91" s="6">
        <f>'Ενεργές συνδέσεις'!AI91</f>
        <v>40</v>
      </c>
      <c r="AJ91" s="6">
        <f>'Ενεργές συνδέσεις'!AJ91</f>
        <v>0</v>
      </c>
      <c r="AK91" s="167">
        <f t="shared" si="297"/>
        <v>259</v>
      </c>
      <c r="AL91" s="190">
        <f t="shared" si="298"/>
        <v>0.18264840182648401</v>
      </c>
      <c r="AM91" s="206">
        <f t="shared" si="308"/>
        <v>20</v>
      </c>
      <c r="AN91" s="6">
        <f>'Ενεργές συνδέσεις'!AN91</f>
        <v>20</v>
      </c>
      <c r="AO91" s="6">
        <f>'Ενεργές συνδέσεις'!AO91</f>
        <v>0</v>
      </c>
      <c r="AP91" s="167">
        <f t="shared" si="299"/>
        <v>279</v>
      </c>
      <c r="AQ91" s="190">
        <f t="shared" si="300"/>
        <v>7.7220077220077218E-2</v>
      </c>
      <c r="AR91" s="206">
        <f t="shared" si="309"/>
        <v>20</v>
      </c>
      <c r="AS91" s="6">
        <f>'Ενεργές συνδέσεις'!AS91</f>
        <v>20</v>
      </c>
      <c r="AT91" s="6">
        <f>'Ενεργές συνδέσεις'!AT91</f>
        <v>0</v>
      </c>
      <c r="AU91" s="167">
        <f t="shared" si="301"/>
        <v>299</v>
      </c>
      <c r="AV91" s="190">
        <f t="shared" si="302"/>
        <v>7.1684587813620068E-2</v>
      </c>
      <c r="AW91" s="198">
        <f t="shared" si="303"/>
        <v>299</v>
      </c>
      <c r="AX91" s="199">
        <f t="shared" si="304"/>
        <v>0.27259901937616848</v>
      </c>
    </row>
    <row r="92" spans="1:50" ht="16.5" customHeight="1" outlineLevel="1" x14ac:dyDescent="0.25">
      <c r="B92" s="52" t="s">
        <v>291</v>
      </c>
      <c r="C92" s="64" t="s">
        <v>22</v>
      </c>
      <c r="D92" s="71"/>
      <c r="E92" s="72"/>
      <c r="F92" s="71"/>
      <c r="G92" s="167">
        <f t="shared" si="283"/>
        <v>0</v>
      </c>
      <c r="H92" s="203">
        <f t="shared" si="284"/>
        <v>0</v>
      </c>
      <c r="I92" s="71"/>
      <c r="J92" s="167">
        <f t="shared" si="285"/>
        <v>0</v>
      </c>
      <c r="K92" s="203">
        <f t="shared" si="286"/>
        <v>0</v>
      </c>
      <c r="L92" s="71"/>
      <c r="M92" s="167">
        <f t="shared" si="287"/>
        <v>0</v>
      </c>
      <c r="N92" s="203">
        <f t="shared" si="288"/>
        <v>0</v>
      </c>
      <c r="O92" s="71">
        <f>'Ενεργές συνδέσεις'!O92</f>
        <v>0</v>
      </c>
      <c r="P92" s="33"/>
      <c r="Q92" s="157"/>
      <c r="R92" s="71">
        <f>'Ενεργές συνδέσεις'!R92</f>
        <v>55</v>
      </c>
      <c r="S92" s="167">
        <f t="shared" si="289"/>
        <v>55</v>
      </c>
      <c r="T92" s="203">
        <f t="shared" si="290"/>
        <v>0</v>
      </c>
      <c r="U92" s="198">
        <f t="shared" si="291"/>
        <v>55</v>
      </c>
      <c r="V92" s="199">
        <f t="shared" si="292"/>
        <v>0</v>
      </c>
      <c r="X92" s="206">
        <f t="shared" si="305"/>
        <v>112</v>
      </c>
      <c r="Y92" s="6">
        <f>'Ενεργές συνδέσεις'!Y92</f>
        <v>0</v>
      </c>
      <c r="Z92" s="6">
        <f>'Ενεργές συνδέσεις'!Z92</f>
        <v>112</v>
      </c>
      <c r="AA92" s="167">
        <f t="shared" si="293"/>
        <v>167</v>
      </c>
      <c r="AB92" s="203">
        <f t="shared" si="294"/>
        <v>2.0363636363636362</v>
      </c>
      <c r="AC92" s="206">
        <f t="shared" si="306"/>
        <v>22</v>
      </c>
      <c r="AD92" s="6">
        <f>'Ενεργές συνδέσεις'!AD92</f>
        <v>22</v>
      </c>
      <c r="AE92" s="6">
        <f>'Ενεργές συνδέσεις'!AE92</f>
        <v>0</v>
      </c>
      <c r="AF92" s="167">
        <f t="shared" si="295"/>
        <v>189</v>
      </c>
      <c r="AG92" s="190">
        <f t="shared" si="296"/>
        <v>0.1317365269461078</v>
      </c>
      <c r="AH92" s="206">
        <f t="shared" si="307"/>
        <v>4</v>
      </c>
      <c r="AI92" s="6">
        <f>'Ενεργές συνδέσεις'!AI92</f>
        <v>4</v>
      </c>
      <c r="AJ92" s="6">
        <f>'Ενεργές συνδέσεις'!AJ92</f>
        <v>0</v>
      </c>
      <c r="AK92" s="167">
        <f t="shared" si="297"/>
        <v>193</v>
      </c>
      <c r="AL92" s="190">
        <f t="shared" si="298"/>
        <v>2.1164021164021163E-2</v>
      </c>
      <c r="AM92" s="206">
        <f t="shared" si="308"/>
        <v>5</v>
      </c>
      <c r="AN92" s="6">
        <f>'Ενεργές συνδέσεις'!AN92</f>
        <v>5</v>
      </c>
      <c r="AO92" s="6">
        <f>'Ενεργές συνδέσεις'!AO92</f>
        <v>0</v>
      </c>
      <c r="AP92" s="167">
        <f t="shared" si="299"/>
        <v>198</v>
      </c>
      <c r="AQ92" s="190">
        <f t="shared" si="300"/>
        <v>2.5906735751295335E-2</v>
      </c>
      <c r="AR92" s="206">
        <f t="shared" si="309"/>
        <v>5</v>
      </c>
      <c r="AS92" s="6">
        <f>'Ενεργές συνδέσεις'!AS92</f>
        <v>5</v>
      </c>
      <c r="AT92" s="6">
        <f>'Ενεργές συνδέσεις'!AT92</f>
        <v>0</v>
      </c>
      <c r="AU92" s="167">
        <f t="shared" si="301"/>
        <v>203</v>
      </c>
      <c r="AV92" s="190">
        <f t="shared" si="302"/>
        <v>2.5252525252525252E-2</v>
      </c>
      <c r="AW92" s="198">
        <f t="shared" si="303"/>
        <v>148</v>
      </c>
      <c r="AX92" s="199">
        <f t="shared" si="304"/>
        <v>5.0013521448228238E-2</v>
      </c>
    </row>
    <row r="93" spans="1:50" ht="16.5" customHeight="1" outlineLevel="1" x14ac:dyDescent="0.25">
      <c r="B93" s="52" t="s">
        <v>307</v>
      </c>
      <c r="C93" s="64"/>
      <c r="D93" s="71"/>
      <c r="E93" s="72"/>
      <c r="F93" s="71"/>
      <c r="G93" s="167"/>
      <c r="H93" s="203">
        <f t="shared" si="284"/>
        <v>0</v>
      </c>
      <c r="I93" s="71"/>
      <c r="J93" s="167"/>
      <c r="K93" s="203">
        <f t="shared" si="286"/>
        <v>0</v>
      </c>
      <c r="L93" s="71"/>
      <c r="M93" s="167"/>
      <c r="N93" s="203">
        <f t="shared" si="288"/>
        <v>0</v>
      </c>
      <c r="O93" s="71"/>
      <c r="P93" s="33"/>
      <c r="Q93" s="157"/>
      <c r="R93" s="71"/>
      <c r="S93" s="167"/>
      <c r="T93" s="203">
        <f t="shared" si="290"/>
        <v>0</v>
      </c>
      <c r="U93" s="198">
        <f t="shared" si="291"/>
        <v>0</v>
      </c>
      <c r="V93" s="199">
        <f t="shared" si="292"/>
        <v>0</v>
      </c>
      <c r="X93" s="206">
        <f t="shared" ref="X93:X97" si="310">Y93+Z93</f>
        <v>6</v>
      </c>
      <c r="Y93" s="6">
        <f>'Ενεργές συνδέσεις'!Y93</f>
        <v>0</v>
      </c>
      <c r="Z93" s="6">
        <f>'Ενεργές συνδέσεις'!Z93</f>
        <v>6</v>
      </c>
      <c r="AA93" s="167">
        <f t="shared" ref="AA93:AA97" si="311">S93+X93</f>
        <v>6</v>
      </c>
      <c r="AB93" s="203">
        <f t="shared" ref="AB93:AB97" si="312">IFERROR((AA93-S93)/S93,0)</f>
        <v>0</v>
      </c>
      <c r="AC93" s="206">
        <f t="shared" ref="AC93:AC97" si="313">AD93+AE93</f>
        <v>7</v>
      </c>
      <c r="AD93" s="6">
        <f>'Ενεργές συνδέσεις'!AD93</f>
        <v>7</v>
      </c>
      <c r="AE93" s="6">
        <f>'Ενεργές συνδέσεις'!AE93</f>
        <v>0</v>
      </c>
      <c r="AF93" s="167">
        <f t="shared" ref="AF93:AF97" si="314">AA93+AC93</f>
        <v>13</v>
      </c>
      <c r="AG93" s="190">
        <f t="shared" ref="AG93:AG97" si="315">IFERROR((AF93-AA93)/AA93,0)</f>
        <v>1.1666666666666667</v>
      </c>
      <c r="AH93" s="206">
        <f t="shared" ref="AH93:AH97" si="316">AI93+AJ93</f>
        <v>8</v>
      </c>
      <c r="AI93" s="6">
        <f>'Ενεργές συνδέσεις'!AI93</f>
        <v>8</v>
      </c>
      <c r="AJ93" s="6">
        <f>'Ενεργές συνδέσεις'!AJ93</f>
        <v>0</v>
      </c>
      <c r="AK93" s="167">
        <f t="shared" ref="AK93:AK97" si="317">AF93+AH93</f>
        <v>21</v>
      </c>
      <c r="AL93" s="190">
        <f t="shared" ref="AL93:AL97" si="318">IFERROR((AK93-AF93)/AF93,0)</f>
        <v>0.61538461538461542</v>
      </c>
      <c r="AM93" s="206">
        <f t="shared" ref="AM93:AM97" si="319">AN93+AO93</f>
        <v>4</v>
      </c>
      <c r="AN93" s="6">
        <f>'Ενεργές συνδέσεις'!AN93</f>
        <v>4</v>
      </c>
      <c r="AO93" s="6">
        <f>'Ενεργές συνδέσεις'!AO93</f>
        <v>0</v>
      </c>
      <c r="AP93" s="167">
        <f t="shared" ref="AP93:AP97" si="320">AK93+AM93</f>
        <v>25</v>
      </c>
      <c r="AQ93" s="190">
        <f t="shared" ref="AQ93:AQ97" si="321">IFERROR((AP93-AK93)/AK93,0)</f>
        <v>0.19047619047619047</v>
      </c>
      <c r="AR93" s="206">
        <f t="shared" ref="AR93:AR97" si="322">AS93+AT93</f>
        <v>4</v>
      </c>
      <c r="AS93" s="6">
        <f>'Ενεργές συνδέσεις'!AS93</f>
        <v>4</v>
      </c>
      <c r="AT93" s="6">
        <f>'Ενεργές συνδέσεις'!AT93</f>
        <v>0</v>
      </c>
      <c r="AU93" s="167">
        <f t="shared" ref="AU93:AU97" si="323">AP93+AR93</f>
        <v>29</v>
      </c>
      <c r="AV93" s="190">
        <f t="shared" ref="AV93:AV97" si="324">IFERROR((AU93-AP93)/AP93,0)</f>
        <v>0.16</v>
      </c>
      <c r="AW93" s="198">
        <f t="shared" ref="AW93:AW97" si="325">X93+AC93+AH93+AM93+AR93</f>
        <v>29</v>
      </c>
      <c r="AX93" s="199">
        <f t="shared" si="304"/>
        <v>0.48272867591438318</v>
      </c>
    </row>
    <row r="94" spans="1:50" ht="16.5" customHeight="1" outlineLevel="1" x14ac:dyDescent="0.25">
      <c r="B94" s="52" t="s">
        <v>304</v>
      </c>
      <c r="C94" s="64"/>
      <c r="D94" s="71"/>
      <c r="E94" s="72"/>
      <c r="F94" s="71"/>
      <c r="G94" s="167"/>
      <c r="H94" s="203">
        <f t="shared" si="284"/>
        <v>0</v>
      </c>
      <c r="I94" s="71"/>
      <c r="J94" s="167"/>
      <c r="K94" s="203">
        <f t="shared" si="286"/>
        <v>0</v>
      </c>
      <c r="L94" s="71"/>
      <c r="M94" s="167"/>
      <c r="N94" s="203">
        <f t="shared" si="288"/>
        <v>0</v>
      </c>
      <c r="O94" s="71"/>
      <c r="P94" s="33"/>
      <c r="Q94" s="157"/>
      <c r="R94" s="71"/>
      <c r="S94" s="167"/>
      <c r="T94" s="203">
        <f t="shared" si="290"/>
        <v>0</v>
      </c>
      <c r="U94" s="198">
        <f t="shared" si="291"/>
        <v>0</v>
      </c>
      <c r="V94" s="199">
        <f t="shared" si="292"/>
        <v>0</v>
      </c>
      <c r="X94" s="206">
        <f t="shared" si="310"/>
        <v>10</v>
      </c>
      <c r="Y94" s="6">
        <f>'Ενεργές συνδέσεις'!Y94</f>
        <v>0</v>
      </c>
      <c r="Z94" s="6">
        <f>'Ενεργές συνδέσεις'!Z94</f>
        <v>10</v>
      </c>
      <c r="AA94" s="167">
        <f t="shared" si="311"/>
        <v>10</v>
      </c>
      <c r="AB94" s="203">
        <f t="shared" si="312"/>
        <v>0</v>
      </c>
      <c r="AC94" s="206">
        <f t="shared" si="313"/>
        <v>7</v>
      </c>
      <c r="AD94" s="6">
        <f>'Ενεργές συνδέσεις'!AD94</f>
        <v>7</v>
      </c>
      <c r="AE94" s="6">
        <f>'Ενεργές συνδέσεις'!AE94</f>
        <v>0</v>
      </c>
      <c r="AF94" s="167">
        <f t="shared" si="314"/>
        <v>17</v>
      </c>
      <c r="AG94" s="190">
        <f t="shared" si="315"/>
        <v>0.7</v>
      </c>
      <c r="AH94" s="206">
        <f t="shared" si="316"/>
        <v>8</v>
      </c>
      <c r="AI94" s="6">
        <f>'Ενεργές συνδέσεις'!AI94</f>
        <v>8</v>
      </c>
      <c r="AJ94" s="6">
        <f>'Ενεργές συνδέσεις'!AJ94</f>
        <v>0</v>
      </c>
      <c r="AK94" s="167">
        <f t="shared" si="317"/>
        <v>25</v>
      </c>
      <c r="AL94" s="190">
        <f t="shared" si="318"/>
        <v>0.47058823529411764</v>
      </c>
      <c r="AM94" s="206">
        <f t="shared" si="319"/>
        <v>4</v>
      </c>
      <c r="AN94" s="6">
        <f>'Ενεργές συνδέσεις'!AN94</f>
        <v>4</v>
      </c>
      <c r="AO94" s="6">
        <f>'Ενεργές συνδέσεις'!AO94</f>
        <v>0</v>
      </c>
      <c r="AP94" s="167">
        <f t="shared" si="320"/>
        <v>29</v>
      </c>
      <c r="AQ94" s="190">
        <f t="shared" si="321"/>
        <v>0.16</v>
      </c>
      <c r="AR94" s="206">
        <f t="shared" si="322"/>
        <v>4</v>
      </c>
      <c r="AS94" s="6">
        <f>'Ενεργές συνδέσεις'!AS94</f>
        <v>4</v>
      </c>
      <c r="AT94" s="6">
        <f>'Ενεργές συνδέσεις'!AT94</f>
        <v>0</v>
      </c>
      <c r="AU94" s="167">
        <f t="shared" si="323"/>
        <v>33</v>
      </c>
      <c r="AV94" s="190">
        <f t="shared" si="324"/>
        <v>0.13793103448275862</v>
      </c>
      <c r="AW94" s="198">
        <f t="shared" si="325"/>
        <v>33</v>
      </c>
      <c r="AX94" s="199">
        <f t="shared" si="304"/>
        <v>0.34780941251294695</v>
      </c>
    </row>
    <row r="95" spans="1:50" ht="16.5" customHeight="1" outlineLevel="1" x14ac:dyDescent="0.25">
      <c r="B95" s="52" t="s">
        <v>305</v>
      </c>
      <c r="C95" s="64"/>
      <c r="D95" s="71"/>
      <c r="E95" s="72"/>
      <c r="F95" s="71"/>
      <c r="G95" s="167"/>
      <c r="H95" s="203">
        <f t="shared" si="284"/>
        <v>0</v>
      </c>
      <c r="I95" s="71"/>
      <c r="J95" s="167"/>
      <c r="K95" s="203">
        <f t="shared" si="286"/>
        <v>0</v>
      </c>
      <c r="L95" s="71"/>
      <c r="M95" s="167"/>
      <c r="N95" s="203">
        <f t="shared" si="288"/>
        <v>0</v>
      </c>
      <c r="O95" s="71"/>
      <c r="P95" s="33"/>
      <c r="Q95" s="157"/>
      <c r="R95" s="71"/>
      <c r="S95" s="167"/>
      <c r="T95" s="203">
        <f t="shared" si="290"/>
        <v>0</v>
      </c>
      <c r="U95" s="198">
        <f t="shared" si="291"/>
        <v>0</v>
      </c>
      <c r="V95" s="199">
        <f t="shared" si="292"/>
        <v>0</v>
      </c>
      <c r="X95" s="206">
        <f t="shared" si="310"/>
        <v>7</v>
      </c>
      <c r="Y95" s="6">
        <f>'Ενεργές συνδέσεις'!Y95</f>
        <v>0</v>
      </c>
      <c r="Z95" s="6">
        <f>'Ενεργές συνδέσεις'!Z95</f>
        <v>7</v>
      </c>
      <c r="AA95" s="167">
        <f t="shared" si="311"/>
        <v>7</v>
      </c>
      <c r="AB95" s="203">
        <f t="shared" si="312"/>
        <v>0</v>
      </c>
      <c r="AC95" s="206">
        <f t="shared" si="313"/>
        <v>7</v>
      </c>
      <c r="AD95" s="6">
        <f>'Ενεργές συνδέσεις'!AD95</f>
        <v>7</v>
      </c>
      <c r="AE95" s="6">
        <f>'Ενεργές συνδέσεις'!AE95</f>
        <v>0</v>
      </c>
      <c r="AF95" s="167">
        <f t="shared" si="314"/>
        <v>14</v>
      </c>
      <c r="AG95" s="190">
        <f t="shared" si="315"/>
        <v>1</v>
      </c>
      <c r="AH95" s="206">
        <f t="shared" si="316"/>
        <v>8</v>
      </c>
      <c r="AI95" s="6">
        <f>'Ενεργές συνδέσεις'!AI95</f>
        <v>8</v>
      </c>
      <c r="AJ95" s="6">
        <f>'Ενεργές συνδέσεις'!AJ95</f>
        <v>0</v>
      </c>
      <c r="AK95" s="167">
        <f t="shared" si="317"/>
        <v>22</v>
      </c>
      <c r="AL95" s="190">
        <f t="shared" si="318"/>
        <v>0.5714285714285714</v>
      </c>
      <c r="AM95" s="206">
        <f t="shared" si="319"/>
        <v>4</v>
      </c>
      <c r="AN95" s="6">
        <f>'Ενεργές συνδέσεις'!AN95</f>
        <v>4</v>
      </c>
      <c r="AO95" s="6">
        <f>'Ενεργές συνδέσεις'!AO95</f>
        <v>0</v>
      </c>
      <c r="AP95" s="167">
        <f t="shared" si="320"/>
        <v>26</v>
      </c>
      <c r="AQ95" s="190">
        <f t="shared" si="321"/>
        <v>0.18181818181818182</v>
      </c>
      <c r="AR95" s="206">
        <f t="shared" si="322"/>
        <v>4</v>
      </c>
      <c r="AS95" s="6">
        <f>'Ενεργές συνδέσεις'!AS95</f>
        <v>4</v>
      </c>
      <c r="AT95" s="6">
        <f>'Ενεργές συνδέσεις'!AT95</f>
        <v>0</v>
      </c>
      <c r="AU95" s="167">
        <f t="shared" si="323"/>
        <v>30</v>
      </c>
      <c r="AV95" s="190">
        <f t="shared" si="324"/>
        <v>0.15384615384615385</v>
      </c>
      <c r="AW95" s="198">
        <f t="shared" si="325"/>
        <v>30</v>
      </c>
      <c r="AX95" s="199">
        <f t="shared" si="304"/>
        <v>0.43881780570962592</v>
      </c>
    </row>
    <row r="96" spans="1:50" ht="16.5" customHeight="1" outlineLevel="1" x14ac:dyDescent="0.25">
      <c r="B96" s="52" t="s">
        <v>306</v>
      </c>
      <c r="C96" s="64"/>
      <c r="D96" s="71"/>
      <c r="E96" s="72"/>
      <c r="F96" s="71"/>
      <c r="G96" s="167"/>
      <c r="H96" s="203">
        <f t="shared" si="284"/>
        <v>0</v>
      </c>
      <c r="I96" s="71"/>
      <c r="J96" s="167"/>
      <c r="K96" s="203">
        <f t="shared" si="286"/>
        <v>0</v>
      </c>
      <c r="L96" s="71"/>
      <c r="M96" s="167"/>
      <c r="N96" s="203">
        <f t="shared" si="288"/>
        <v>0</v>
      </c>
      <c r="O96" s="71"/>
      <c r="P96" s="33"/>
      <c r="Q96" s="157"/>
      <c r="R96" s="71"/>
      <c r="S96" s="167"/>
      <c r="T96" s="203">
        <f t="shared" si="290"/>
        <v>0</v>
      </c>
      <c r="U96" s="198">
        <f t="shared" si="291"/>
        <v>0</v>
      </c>
      <c r="V96" s="199">
        <f t="shared" si="292"/>
        <v>0</v>
      </c>
      <c r="X96" s="206">
        <f t="shared" si="310"/>
        <v>40</v>
      </c>
      <c r="Y96" s="6">
        <f>'Ενεργές συνδέσεις'!Y96</f>
        <v>0</v>
      </c>
      <c r="Z96" s="6">
        <f>'Ενεργές συνδέσεις'!Z96</f>
        <v>40</v>
      </c>
      <c r="AA96" s="167">
        <f t="shared" si="311"/>
        <v>40</v>
      </c>
      <c r="AB96" s="203">
        <f t="shared" si="312"/>
        <v>0</v>
      </c>
      <c r="AC96" s="206">
        <f t="shared" si="313"/>
        <v>45</v>
      </c>
      <c r="AD96" s="6">
        <f>'Ενεργές συνδέσεις'!AD96</f>
        <v>45</v>
      </c>
      <c r="AE96" s="6">
        <f>'Ενεργές συνδέσεις'!AE96</f>
        <v>0</v>
      </c>
      <c r="AF96" s="167">
        <f t="shared" si="314"/>
        <v>85</v>
      </c>
      <c r="AG96" s="190">
        <f t="shared" si="315"/>
        <v>1.125</v>
      </c>
      <c r="AH96" s="206">
        <f t="shared" si="316"/>
        <v>36</v>
      </c>
      <c r="AI96" s="6">
        <f>'Ενεργές συνδέσεις'!AI96</f>
        <v>36</v>
      </c>
      <c r="AJ96" s="6">
        <f>'Ενεργές συνδέσεις'!AJ96</f>
        <v>0</v>
      </c>
      <c r="AK96" s="167">
        <f t="shared" si="317"/>
        <v>121</v>
      </c>
      <c r="AL96" s="190">
        <f t="shared" si="318"/>
        <v>0.42352941176470588</v>
      </c>
      <c r="AM96" s="206">
        <f t="shared" si="319"/>
        <v>20</v>
      </c>
      <c r="AN96" s="6">
        <f>'Ενεργές συνδέσεις'!AN96</f>
        <v>20</v>
      </c>
      <c r="AO96" s="6">
        <f>'Ενεργές συνδέσεις'!AO96</f>
        <v>0</v>
      </c>
      <c r="AP96" s="167">
        <f t="shared" si="320"/>
        <v>141</v>
      </c>
      <c r="AQ96" s="190">
        <f t="shared" si="321"/>
        <v>0.16528925619834711</v>
      </c>
      <c r="AR96" s="206">
        <f t="shared" si="322"/>
        <v>20</v>
      </c>
      <c r="AS96" s="6">
        <f>'Ενεργές συνδέσεις'!AS96</f>
        <v>20</v>
      </c>
      <c r="AT96" s="6">
        <f>'Ενεργές συνδέσεις'!AT96</f>
        <v>0</v>
      </c>
      <c r="AU96" s="167">
        <f t="shared" si="323"/>
        <v>161</v>
      </c>
      <c r="AV96" s="190">
        <f t="shared" si="324"/>
        <v>0.14184397163120568</v>
      </c>
      <c r="AW96" s="198">
        <f t="shared" si="325"/>
        <v>161</v>
      </c>
      <c r="AX96" s="199">
        <f t="shared" si="304"/>
        <v>0.41641811086059199</v>
      </c>
    </row>
    <row r="97" spans="1:50" ht="16.5" customHeight="1" outlineLevel="1" x14ac:dyDescent="0.25">
      <c r="B97" s="52" t="s">
        <v>308</v>
      </c>
      <c r="C97" s="64"/>
      <c r="D97" s="71"/>
      <c r="E97" s="72"/>
      <c r="F97" s="71"/>
      <c r="G97" s="167"/>
      <c r="H97" s="203">
        <f t="shared" si="284"/>
        <v>0</v>
      </c>
      <c r="I97" s="71"/>
      <c r="J97" s="167"/>
      <c r="K97" s="203">
        <f t="shared" si="286"/>
        <v>0</v>
      </c>
      <c r="L97" s="71"/>
      <c r="M97" s="167"/>
      <c r="N97" s="203">
        <f t="shared" si="288"/>
        <v>0</v>
      </c>
      <c r="O97" s="71"/>
      <c r="P97" s="33"/>
      <c r="Q97" s="157"/>
      <c r="R97" s="71"/>
      <c r="S97" s="167"/>
      <c r="T97" s="203">
        <f t="shared" si="290"/>
        <v>0</v>
      </c>
      <c r="U97" s="198">
        <f t="shared" si="291"/>
        <v>0</v>
      </c>
      <c r="V97" s="199">
        <f t="shared" si="292"/>
        <v>0</v>
      </c>
      <c r="X97" s="206">
        <f t="shared" si="310"/>
        <v>28</v>
      </c>
      <c r="Y97" s="6">
        <f>'Ενεργές συνδέσεις'!Y97</f>
        <v>0</v>
      </c>
      <c r="Z97" s="6">
        <f>'Ενεργές συνδέσεις'!Z97</f>
        <v>28</v>
      </c>
      <c r="AA97" s="167">
        <f t="shared" si="311"/>
        <v>28</v>
      </c>
      <c r="AB97" s="203">
        <f t="shared" si="312"/>
        <v>0</v>
      </c>
      <c r="AC97" s="206">
        <f t="shared" si="313"/>
        <v>49</v>
      </c>
      <c r="AD97" s="6">
        <f>'Ενεργές συνδέσεις'!AD97</f>
        <v>49</v>
      </c>
      <c r="AE97" s="6">
        <f>'Ενεργές συνδέσεις'!AE97</f>
        <v>0</v>
      </c>
      <c r="AF97" s="167">
        <f t="shared" si="314"/>
        <v>77</v>
      </c>
      <c r="AG97" s="190">
        <f t="shared" si="315"/>
        <v>1.75</v>
      </c>
      <c r="AH97" s="206">
        <f t="shared" si="316"/>
        <v>49</v>
      </c>
      <c r="AI97" s="6">
        <f>'Ενεργές συνδέσεις'!AI97</f>
        <v>49</v>
      </c>
      <c r="AJ97" s="6">
        <f>'Ενεργές συνδέσεις'!AJ97</f>
        <v>0</v>
      </c>
      <c r="AK97" s="167">
        <f t="shared" si="317"/>
        <v>126</v>
      </c>
      <c r="AL97" s="190">
        <f t="shared" si="318"/>
        <v>0.63636363636363635</v>
      </c>
      <c r="AM97" s="206">
        <f t="shared" si="319"/>
        <v>35</v>
      </c>
      <c r="AN97" s="6">
        <f>'Ενεργές συνδέσεις'!AN97</f>
        <v>35</v>
      </c>
      <c r="AO97" s="6">
        <f>'Ενεργές συνδέσεις'!AO97</f>
        <v>0</v>
      </c>
      <c r="AP97" s="167">
        <f t="shared" si="320"/>
        <v>161</v>
      </c>
      <c r="AQ97" s="190">
        <f t="shared" si="321"/>
        <v>0.27777777777777779</v>
      </c>
      <c r="AR97" s="206">
        <f t="shared" si="322"/>
        <v>35</v>
      </c>
      <c r="AS97" s="6">
        <f>'Ενεργές συνδέσεις'!AS97</f>
        <v>35</v>
      </c>
      <c r="AT97" s="6">
        <f>'Ενεργές συνδέσεις'!AT97</f>
        <v>0</v>
      </c>
      <c r="AU97" s="167">
        <f t="shared" si="323"/>
        <v>196</v>
      </c>
      <c r="AV97" s="190">
        <f t="shared" si="324"/>
        <v>0.21739130434782608</v>
      </c>
      <c r="AW97" s="198">
        <f t="shared" si="325"/>
        <v>196</v>
      </c>
      <c r="AX97" s="199">
        <f t="shared" si="304"/>
        <v>0.62657656169778564</v>
      </c>
    </row>
    <row r="98" spans="1:50" ht="16.5" customHeight="1" outlineLevel="1" x14ac:dyDescent="0.25">
      <c r="B98" s="52"/>
      <c r="C98" s="64"/>
      <c r="D98" s="71"/>
      <c r="E98" s="72"/>
      <c r="F98" s="71"/>
      <c r="G98" s="167"/>
      <c r="H98" s="203">
        <f t="shared" si="284"/>
        <v>0</v>
      </c>
      <c r="I98" s="71"/>
      <c r="J98" s="167"/>
      <c r="K98" s="203">
        <f t="shared" si="286"/>
        <v>0</v>
      </c>
      <c r="L98" s="71"/>
      <c r="M98" s="167"/>
      <c r="N98" s="203">
        <f t="shared" si="288"/>
        <v>0</v>
      </c>
      <c r="O98" s="71"/>
      <c r="P98" s="33"/>
      <c r="Q98" s="157"/>
      <c r="R98" s="71"/>
      <c r="S98" s="167"/>
      <c r="T98" s="203">
        <f t="shared" si="290"/>
        <v>0</v>
      </c>
      <c r="U98" s="198">
        <f t="shared" si="291"/>
        <v>0</v>
      </c>
      <c r="V98" s="199">
        <f t="shared" si="292"/>
        <v>0</v>
      </c>
      <c r="X98" s="206"/>
      <c r="Y98" s="6"/>
      <c r="Z98" s="6"/>
      <c r="AA98" s="167"/>
      <c r="AB98" s="203">
        <f t="shared" si="294"/>
        <v>0</v>
      </c>
      <c r="AC98" s="206"/>
      <c r="AD98" s="6"/>
      <c r="AE98" s="6"/>
      <c r="AF98" s="167"/>
      <c r="AG98" s="190">
        <f t="shared" si="296"/>
        <v>0</v>
      </c>
      <c r="AH98" s="206"/>
      <c r="AI98" s="6"/>
      <c r="AJ98" s="6"/>
      <c r="AK98" s="167"/>
      <c r="AL98" s="190">
        <f t="shared" si="298"/>
        <v>0</v>
      </c>
      <c r="AM98" s="206"/>
      <c r="AN98" s="6"/>
      <c r="AO98" s="6"/>
      <c r="AP98" s="167"/>
      <c r="AQ98" s="190">
        <f t="shared" si="300"/>
        <v>0</v>
      </c>
      <c r="AR98" s="206"/>
      <c r="AS98" s="6"/>
      <c r="AT98" s="6"/>
      <c r="AU98" s="167"/>
      <c r="AV98" s="190">
        <f t="shared" si="302"/>
        <v>0</v>
      </c>
      <c r="AW98" s="198"/>
      <c r="AX98" s="199">
        <f t="shared" si="304"/>
        <v>0</v>
      </c>
    </row>
    <row r="99" spans="1:50" ht="15" customHeight="1" outlineLevel="1" x14ac:dyDescent="0.25">
      <c r="B99" s="349" t="s">
        <v>90</v>
      </c>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97"/>
    </row>
    <row r="100" spans="1:50" ht="15" customHeight="1" outlineLevel="1" x14ac:dyDescent="0.25">
      <c r="B100" s="52" t="s">
        <v>82</v>
      </c>
      <c r="C100" s="49" t="s">
        <v>22</v>
      </c>
      <c r="D100" s="207">
        <f>SUM(D84:D98)</f>
        <v>0</v>
      </c>
      <c r="E100" s="208">
        <f>SUM(E84:E98)</f>
        <v>0</v>
      </c>
      <c r="F100" s="207">
        <f>SUM(F84:F98)</f>
        <v>0</v>
      </c>
      <c r="G100" s="172">
        <f>SUM(G84:G98)</f>
        <v>0</v>
      </c>
      <c r="H100" s="202">
        <f>IFERROR((G100-E100)/E100,0)</f>
        <v>0</v>
      </c>
      <c r="I100" s="207">
        <f>SUM(I84:I98)</f>
        <v>0</v>
      </c>
      <c r="J100" s="172">
        <f>SUM(J84:J98)</f>
        <v>0</v>
      </c>
      <c r="K100" s="202">
        <f t="shared" ref="K100" si="326">IFERROR((J100-G100)/G100,0)</f>
        <v>0</v>
      </c>
      <c r="L100" s="207">
        <f>SUM(L84:L98)</f>
        <v>0</v>
      </c>
      <c r="M100" s="172">
        <f>SUM(M84:M98)</f>
        <v>0</v>
      </c>
      <c r="N100" s="202">
        <f t="shared" ref="N100" si="327">IFERROR((M100-J100)/J100,0)</f>
        <v>0</v>
      </c>
      <c r="O100" s="207">
        <f>SUM(O84:O98)</f>
        <v>4</v>
      </c>
      <c r="P100" s="158"/>
      <c r="Q100" s="159"/>
      <c r="R100" s="207">
        <f>SUM(R84:R98)</f>
        <v>59</v>
      </c>
      <c r="S100" s="172">
        <f>SUM(S84:S98)</f>
        <v>59</v>
      </c>
      <c r="T100" s="202">
        <f t="shared" ref="T100" si="328">IFERROR((S100-M100)/M100,0)</f>
        <v>0</v>
      </c>
      <c r="U100" s="198">
        <f>D100+F100+I100+L100+R100</f>
        <v>59</v>
      </c>
      <c r="V100" s="199">
        <f>IFERROR((S100/E100)^(1/4)-1,0)</f>
        <v>0</v>
      </c>
      <c r="X100" s="188">
        <f>SUM(X84:X98)</f>
        <v>813</v>
      </c>
      <c r="Y100" s="187">
        <f>SUM(Y84:Y98)</f>
        <v>29</v>
      </c>
      <c r="Z100" s="187">
        <f>SUM(Z84:Z98)</f>
        <v>784</v>
      </c>
      <c r="AA100" s="187">
        <f>SUM(AA84:AA98)</f>
        <v>872</v>
      </c>
      <c r="AB100" s="202">
        <f>IFERROR((AA100-S100)/S100,0)</f>
        <v>13.779661016949152</v>
      </c>
      <c r="AC100" s="188">
        <f>SUM(AC84:AC98)</f>
        <v>789</v>
      </c>
      <c r="AD100" s="187">
        <f>SUM(AD84:AD98)</f>
        <v>789</v>
      </c>
      <c r="AE100" s="187">
        <f>SUM(AE84:AE98)</f>
        <v>0</v>
      </c>
      <c r="AF100" s="187">
        <f>SUM(AF84:AF98)</f>
        <v>1661</v>
      </c>
      <c r="AG100" s="191">
        <f t="shared" ref="AG100" si="329">IFERROR((AF100-AA100)/AA100,0)</f>
        <v>0.90481651376146788</v>
      </c>
      <c r="AH100" s="188">
        <f>SUM(AH84:AH98)</f>
        <v>295</v>
      </c>
      <c r="AI100" s="187">
        <f>SUM(AI84:AI98)</f>
        <v>295</v>
      </c>
      <c r="AJ100" s="187">
        <f>SUM(AJ84:AJ98)</f>
        <v>0</v>
      </c>
      <c r="AK100" s="187">
        <f>SUM(AK84:AK98)</f>
        <v>1956</v>
      </c>
      <c r="AL100" s="191">
        <f t="shared" ref="AL100" si="330">IFERROR((AK100-AF100)/AF100,0)</f>
        <v>0.17760385310054183</v>
      </c>
      <c r="AM100" s="188">
        <f>SUM(AM84:AM98)</f>
        <v>150</v>
      </c>
      <c r="AN100" s="187">
        <f>SUM(AN84:AN98)</f>
        <v>150</v>
      </c>
      <c r="AO100" s="187">
        <f>SUM(AO84:AO98)</f>
        <v>0</v>
      </c>
      <c r="AP100" s="187">
        <f>SUM(AP84:AP98)</f>
        <v>2106</v>
      </c>
      <c r="AQ100" s="191">
        <f t="shared" ref="AQ100" si="331">IFERROR((AP100-AK100)/AK100,0)</f>
        <v>7.6687116564417179E-2</v>
      </c>
      <c r="AR100" s="188">
        <f>SUM(AR84:AR98)</f>
        <v>150</v>
      </c>
      <c r="AS100" s="187">
        <f>SUM(AS84:AS98)</f>
        <v>150</v>
      </c>
      <c r="AT100" s="187">
        <f>SUM(AT84:AT98)</f>
        <v>0</v>
      </c>
      <c r="AU100" s="187">
        <f>SUM(AU84:AU98)</f>
        <v>2256</v>
      </c>
      <c r="AV100" s="191">
        <f t="shared" ref="AV100" si="332">IFERROR((AU100-AP100)/AP100,0)</f>
        <v>7.1225071225071226E-2</v>
      </c>
      <c r="AW100" s="188">
        <f>SUM(AW84:AW98)</f>
        <v>2197</v>
      </c>
      <c r="AX100" s="199">
        <f t="shared" ref="AX100" si="333">IFERROR((AU100/AA100)^(1/4)-1,0)</f>
        <v>0.26825228248753374</v>
      </c>
    </row>
    <row r="102" spans="1:50" ht="15.75" x14ac:dyDescent="0.25">
      <c r="B102" s="352" t="s">
        <v>207</v>
      </c>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row>
    <row r="103" spans="1:50" ht="5.45" customHeight="1" outlineLevel="1" x14ac:dyDescent="0.2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row>
    <row r="104" spans="1:50" outlineLevel="1" x14ac:dyDescent="0.25">
      <c r="B104" s="393"/>
      <c r="C104" s="396" t="s">
        <v>20</v>
      </c>
      <c r="D104" s="372" t="s">
        <v>262</v>
      </c>
      <c r="E104" s="373"/>
      <c r="F104" s="373"/>
      <c r="G104" s="373"/>
      <c r="H104" s="373"/>
      <c r="I104" s="373"/>
      <c r="J104" s="373"/>
      <c r="K104" s="373"/>
      <c r="L104" s="373"/>
      <c r="M104" s="373"/>
      <c r="N104" s="373"/>
      <c r="O104" s="373"/>
      <c r="P104" s="373"/>
      <c r="Q104" s="374"/>
      <c r="R104" s="372" t="s">
        <v>260</v>
      </c>
      <c r="S104" s="373"/>
      <c r="T104" s="374"/>
      <c r="U104" s="388" t="str">
        <f xml:space="preserve"> D105&amp;" - "&amp;R105</f>
        <v>2018 - 2022</v>
      </c>
      <c r="V104" s="398"/>
      <c r="X104" s="372" t="s">
        <v>261</v>
      </c>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4"/>
    </row>
    <row r="105" spans="1:50" outlineLevel="1" x14ac:dyDescent="0.25">
      <c r="B105" s="394"/>
      <c r="C105" s="396"/>
      <c r="D105" s="372">
        <f>$C$3-5</f>
        <v>2018</v>
      </c>
      <c r="E105" s="374"/>
      <c r="F105" s="372">
        <f>$C$3-4</f>
        <v>2019</v>
      </c>
      <c r="G105" s="373"/>
      <c r="H105" s="374"/>
      <c r="I105" s="372">
        <f>$C$3-3</f>
        <v>2020</v>
      </c>
      <c r="J105" s="373"/>
      <c r="K105" s="374"/>
      <c r="L105" s="372">
        <f>$C$3-2</f>
        <v>2021</v>
      </c>
      <c r="M105" s="373"/>
      <c r="N105" s="374"/>
      <c r="O105" s="372" t="str">
        <f>$C$3-1&amp;""&amp;" ("&amp;"Σεπτ"&amp;")"</f>
        <v>2022 (Σεπτ)</v>
      </c>
      <c r="P105" s="373"/>
      <c r="Q105" s="374"/>
      <c r="R105" s="372">
        <f>$C$3-1</f>
        <v>2022</v>
      </c>
      <c r="S105" s="373"/>
      <c r="T105" s="374"/>
      <c r="U105" s="390"/>
      <c r="V105" s="399"/>
      <c r="X105" s="372">
        <f>$C$3</f>
        <v>2023</v>
      </c>
      <c r="Y105" s="373"/>
      <c r="Z105" s="373"/>
      <c r="AA105" s="373"/>
      <c r="AB105" s="374"/>
      <c r="AC105" s="372">
        <f>$C$3+1</f>
        <v>2024</v>
      </c>
      <c r="AD105" s="373"/>
      <c r="AE105" s="373"/>
      <c r="AF105" s="373"/>
      <c r="AG105" s="374"/>
      <c r="AH105" s="372">
        <f>$C$3+2</f>
        <v>2025</v>
      </c>
      <c r="AI105" s="373"/>
      <c r="AJ105" s="373"/>
      <c r="AK105" s="373"/>
      <c r="AL105" s="374"/>
      <c r="AM105" s="372">
        <f>$C$3+3</f>
        <v>2026</v>
      </c>
      <c r="AN105" s="373"/>
      <c r="AO105" s="373"/>
      <c r="AP105" s="373"/>
      <c r="AQ105" s="374"/>
      <c r="AR105" s="372">
        <f>$C$3+4</f>
        <v>2027</v>
      </c>
      <c r="AS105" s="373"/>
      <c r="AT105" s="373"/>
      <c r="AU105" s="373"/>
      <c r="AV105" s="374"/>
      <c r="AW105" s="376" t="str">
        <f>X105&amp;" - "&amp;AR105</f>
        <v>2023 - 2027</v>
      </c>
      <c r="AX105" s="392"/>
    </row>
    <row r="106" spans="1:50" ht="45" outlineLevel="1" x14ac:dyDescent="0.25">
      <c r="B106" s="395"/>
      <c r="C106" s="396"/>
      <c r="D106" s="67" t="s">
        <v>6</v>
      </c>
      <c r="E106" s="68" t="s">
        <v>7</v>
      </c>
      <c r="F106" s="67" t="s">
        <v>6</v>
      </c>
      <c r="G106" s="9" t="s">
        <v>7</v>
      </c>
      <c r="H106" s="68" t="s">
        <v>81</v>
      </c>
      <c r="I106" s="67" t="s">
        <v>6</v>
      </c>
      <c r="J106" s="9" t="s">
        <v>7</v>
      </c>
      <c r="K106" s="68" t="s">
        <v>81</v>
      </c>
      <c r="L106" s="67" t="s">
        <v>6</v>
      </c>
      <c r="M106" s="9" t="s">
        <v>7</v>
      </c>
      <c r="N106" s="68" t="s">
        <v>81</v>
      </c>
      <c r="O106" s="67" t="s">
        <v>6</v>
      </c>
      <c r="P106" s="9" t="s">
        <v>7</v>
      </c>
      <c r="Q106" s="68" t="s">
        <v>81</v>
      </c>
      <c r="R106" s="67" t="s">
        <v>6</v>
      </c>
      <c r="S106" s="9" t="s">
        <v>7</v>
      </c>
      <c r="T106" s="68" t="s">
        <v>81</v>
      </c>
      <c r="U106" s="67" t="s">
        <v>17</v>
      </c>
      <c r="V106" s="132" t="s">
        <v>83</v>
      </c>
      <c r="X106" s="67" t="s">
        <v>6</v>
      </c>
      <c r="Y106" s="117" t="s">
        <v>88</v>
      </c>
      <c r="Z106" s="117" t="s">
        <v>89</v>
      </c>
      <c r="AA106" s="9" t="s">
        <v>7</v>
      </c>
      <c r="AB106" s="68" t="s">
        <v>81</v>
      </c>
      <c r="AC106" s="67" t="s">
        <v>6</v>
      </c>
      <c r="AD106" s="117" t="s">
        <v>88</v>
      </c>
      <c r="AE106" s="117" t="s">
        <v>89</v>
      </c>
      <c r="AF106" s="9" t="s">
        <v>7</v>
      </c>
      <c r="AG106" s="68" t="s">
        <v>81</v>
      </c>
      <c r="AH106" s="67" t="s">
        <v>6</v>
      </c>
      <c r="AI106" s="117" t="s">
        <v>88</v>
      </c>
      <c r="AJ106" s="117" t="s">
        <v>89</v>
      </c>
      <c r="AK106" s="9" t="s">
        <v>7</v>
      </c>
      <c r="AL106" s="68" t="s">
        <v>81</v>
      </c>
      <c r="AM106" s="67" t="s">
        <v>6</v>
      </c>
      <c r="AN106" s="117" t="s">
        <v>88</v>
      </c>
      <c r="AO106" s="117" t="s">
        <v>89</v>
      </c>
      <c r="AP106" s="9" t="s">
        <v>7</v>
      </c>
      <c r="AQ106" s="68" t="s">
        <v>81</v>
      </c>
      <c r="AR106" s="67" t="s">
        <v>6</v>
      </c>
      <c r="AS106" s="117" t="s">
        <v>88</v>
      </c>
      <c r="AT106" s="117" t="s">
        <v>89</v>
      </c>
      <c r="AU106" s="9" t="s">
        <v>7</v>
      </c>
      <c r="AV106" s="68" t="s">
        <v>81</v>
      </c>
      <c r="AW106" s="67" t="s">
        <v>17</v>
      </c>
      <c r="AX106" s="132" t="s">
        <v>83</v>
      </c>
    </row>
    <row r="107" spans="1:50" outlineLevel="1" x14ac:dyDescent="0.25">
      <c r="B107" s="281" t="s">
        <v>283</v>
      </c>
      <c r="C107" s="64" t="s">
        <v>22</v>
      </c>
      <c r="D107" s="71"/>
      <c r="E107" s="72"/>
      <c r="F107" s="71"/>
      <c r="G107" s="167">
        <f t="shared" ref="G107:G115" si="334">E107+F107</f>
        <v>0</v>
      </c>
      <c r="H107" s="203">
        <f t="shared" ref="H107:H121" si="335">IFERROR((G107-E107)/E107,0)</f>
        <v>0</v>
      </c>
      <c r="I107" s="71"/>
      <c r="J107" s="167">
        <f t="shared" ref="J107:J115" si="336">G107+I107</f>
        <v>0</v>
      </c>
      <c r="K107" s="203">
        <f t="shared" ref="K107:K121" si="337">IFERROR((J107-G107)/G107,0)</f>
        <v>0</v>
      </c>
      <c r="L107" s="71"/>
      <c r="M107" s="167">
        <f t="shared" ref="M107:M115" si="338">J107+L107</f>
        <v>0</v>
      </c>
      <c r="N107" s="203">
        <f t="shared" ref="N107:N121" si="339">IFERROR((M107-J107)/J107,0)</f>
        <v>0</v>
      </c>
      <c r="O107" s="71"/>
      <c r="P107" s="33"/>
      <c r="Q107" s="157"/>
      <c r="R107" s="71"/>
      <c r="S107" s="167">
        <f t="shared" ref="S107:S115" si="340">M107+R107</f>
        <v>0</v>
      </c>
      <c r="T107" s="203">
        <f t="shared" ref="T107:T121" si="341">IFERROR((S107-M107)/M107,0)</f>
        <v>0</v>
      </c>
      <c r="U107" s="198">
        <f t="shared" ref="U107:U121" si="342">D107+F107+I107+L107+R107</f>
        <v>0</v>
      </c>
      <c r="V107" s="199">
        <f t="shared" ref="V107:V121" si="343">IFERROR((S107/E107)^(1/4)-1,0)</f>
        <v>0</v>
      </c>
      <c r="X107" s="206">
        <f>Y107+Z107</f>
        <v>2</v>
      </c>
      <c r="Y107" s="6">
        <f>'Ενεργές συνδέσεις'!Y107</f>
        <v>2</v>
      </c>
      <c r="Z107" s="6">
        <f>'Ενεργές συνδέσεις'!Z107</f>
        <v>0</v>
      </c>
      <c r="AA107" s="167">
        <f t="shared" ref="AA107:AA115" si="344">S107+X107</f>
        <v>2</v>
      </c>
      <c r="AB107" s="203">
        <f t="shared" ref="AB107:AB121" si="345">IFERROR((AA107-S107)/S107,0)</f>
        <v>0</v>
      </c>
      <c r="AC107" s="206">
        <f>AD107+AE107</f>
        <v>2</v>
      </c>
      <c r="AD107" s="6">
        <f>'Ενεργές συνδέσεις'!AD107</f>
        <v>2</v>
      </c>
      <c r="AE107" s="6">
        <f>'Ενεργές συνδέσεις'!AE107</f>
        <v>0</v>
      </c>
      <c r="AF107" s="167">
        <f t="shared" ref="AF107:AF115" si="346">AA107+AC107</f>
        <v>4</v>
      </c>
      <c r="AG107" s="190">
        <f t="shared" ref="AG107:AG121" si="347">IFERROR((AF107-AA107)/AA107,0)</f>
        <v>1</v>
      </c>
      <c r="AH107" s="206">
        <f>AI107+AJ107</f>
        <v>0</v>
      </c>
      <c r="AI107" s="6">
        <f>'Ενεργές συνδέσεις'!AI107</f>
        <v>0</v>
      </c>
      <c r="AJ107" s="6">
        <f>'Ενεργές συνδέσεις'!AJ107</f>
        <v>0</v>
      </c>
      <c r="AK107" s="167">
        <f t="shared" ref="AK107:AK115" si="348">AF107+AH107</f>
        <v>4</v>
      </c>
      <c r="AL107" s="190">
        <f t="shared" ref="AL107:AL121" si="349">IFERROR((AK107-AF107)/AF107,0)</f>
        <v>0</v>
      </c>
      <c r="AM107" s="206">
        <f>AN107+AO107</f>
        <v>0</v>
      </c>
      <c r="AN107" s="6">
        <f>'Ενεργές συνδέσεις'!AN107</f>
        <v>0</v>
      </c>
      <c r="AO107" s="6">
        <f>'Ενεργές συνδέσεις'!AO107</f>
        <v>0</v>
      </c>
      <c r="AP107" s="167">
        <f t="shared" ref="AP107:AP115" si="350">AK107+AM107</f>
        <v>4</v>
      </c>
      <c r="AQ107" s="190">
        <f t="shared" ref="AQ107:AQ121" si="351">IFERROR((AP107-AK107)/AK107,0)</f>
        <v>0</v>
      </c>
      <c r="AR107" s="206">
        <f>AS107+AT107</f>
        <v>0</v>
      </c>
      <c r="AS107" s="6">
        <f>'Ενεργές συνδέσεις'!AS107</f>
        <v>0</v>
      </c>
      <c r="AT107" s="6">
        <f>'Ενεργές συνδέσεις'!AT107</f>
        <v>0</v>
      </c>
      <c r="AU107" s="167">
        <f t="shared" ref="AU107:AU115" si="352">AP107+AR107</f>
        <v>4</v>
      </c>
      <c r="AV107" s="190">
        <f t="shared" ref="AV107:AV121" si="353">IFERROR((AU107-AP107)/AP107,0)</f>
        <v>0</v>
      </c>
      <c r="AW107" s="198">
        <f t="shared" ref="AW107:AW115" si="354">X107+AC107+AH107+AM107+AR107</f>
        <v>4</v>
      </c>
      <c r="AX107" s="199">
        <f t="shared" ref="AX107:AX121" si="355">IFERROR((AU107/AA107)^(1/4)-1,0)</f>
        <v>0.18920711500272103</v>
      </c>
    </row>
    <row r="108" spans="1:50" s="55" customFormat="1" outlineLevel="1" x14ac:dyDescent="0.25">
      <c r="A108"/>
      <c r="B108" s="52" t="s">
        <v>284</v>
      </c>
      <c r="C108" s="64" t="s">
        <v>22</v>
      </c>
      <c r="D108" s="73"/>
      <c r="E108" s="74"/>
      <c r="F108" s="73"/>
      <c r="G108" s="167">
        <f t="shared" si="334"/>
        <v>0</v>
      </c>
      <c r="H108" s="203">
        <f t="shared" si="335"/>
        <v>0</v>
      </c>
      <c r="I108" s="73"/>
      <c r="J108" s="167">
        <f t="shared" si="336"/>
        <v>0</v>
      </c>
      <c r="K108" s="203">
        <f t="shared" si="337"/>
        <v>0</v>
      </c>
      <c r="L108" s="73"/>
      <c r="M108" s="167">
        <f t="shared" si="338"/>
        <v>0</v>
      </c>
      <c r="N108" s="203">
        <f t="shared" si="339"/>
        <v>0</v>
      </c>
      <c r="O108" s="73"/>
      <c r="P108" s="151"/>
      <c r="Q108" s="154"/>
      <c r="R108" s="73"/>
      <c r="S108" s="167">
        <f t="shared" si="340"/>
        <v>0</v>
      </c>
      <c r="T108" s="203">
        <f t="shared" si="341"/>
        <v>0</v>
      </c>
      <c r="U108" s="198">
        <f t="shared" si="342"/>
        <v>0</v>
      </c>
      <c r="V108" s="199">
        <f t="shared" si="343"/>
        <v>0</v>
      </c>
      <c r="W108"/>
      <c r="X108" s="206">
        <f t="shared" ref="X108:X115" si="356">Y108+Z108</f>
        <v>17</v>
      </c>
      <c r="Y108" s="6">
        <f>'Ενεργές συνδέσεις'!Y108</f>
        <v>17</v>
      </c>
      <c r="Z108" s="6">
        <f>'Ενεργές συνδέσεις'!Z108</f>
        <v>0</v>
      </c>
      <c r="AA108" s="167">
        <f t="shared" si="344"/>
        <v>17</v>
      </c>
      <c r="AB108" s="203">
        <f t="shared" si="345"/>
        <v>0</v>
      </c>
      <c r="AC108" s="206">
        <f t="shared" ref="AC108:AC115" si="357">AD108+AE108</f>
        <v>4</v>
      </c>
      <c r="AD108" s="6">
        <f>'Ενεργές συνδέσεις'!AD108</f>
        <v>4</v>
      </c>
      <c r="AE108" s="6">
        <f>'Ενεργές συνδέσεις'!AE108</f>
        <v>0</v>
      </c>
      <c r="AF108" s="167">
        <f t="shared" si="346"/>
        <v>21</v>
      </c>
      <c r="AG108" s="190">
        <f t="shared" si="347"/>
        <v>0.23529411764705882</v>
      </c>
      <c r="AH108" s="206">
        <f t="shared" ref="AH108:AH115" si="358">AI108+AJ108</f>
        <v>4</v>
      </c>
      <c r="AI108" s="6">
        <f>'Ενεργές συνδέσεις'!AI108</f>
        <v>4</v>
      </c>
      <c r="AJ108" s="6">
        <f>'Ενεργές συνδέσεις'!AJ108</f>
        <v>0</v>
      </c>
      <c r="AK108" s="167">
        <f t="shared" si="348"/>
        <v>25</v>
      </c>
      <c r="AL108" s="190">
        <f t="shared" si="349"/>
        <v>0.19047619047619047</v>
      </c>
      <c r="AM108" s="206">
        <f t="shared" ref="AM108:AM115" si="359">AN108+AO108</f>
        <v>0</v>
      </c>
      <c r="AN108" s="6">
        <f>'Ενεργές συνδέσεις'!AN108</f>
        <v>0</v>
      </c>
      <c r="AO108" s="6">
        <f>'Ενεργές συνδέσεις'!AO108</f>
        <v>0</v>
      </c>
      <c r="AP108" s="167">
        <f t="shared" si="350"/>
        <v>25</v>
      </c>
      <c r="AQ108" s="190">
        <f t="shared" si="351"/>
        <v>0</v>
      </c>
      <c r="AR108" s="206">
        <f t="shared" ref="AR108:AR115" si="360">AS108+AT108</f>
        <v>0</v>
      </c>
      <c r="AS108" s="6">
        <f>'Ενεργές συνδέσεις'!AS108</f>
        <v>0</v>
      </c>
      <c r="AT108" s="6">
        <f>'Ενεργές συνδέσεις'!AT108</f>
        <v>0</v>
      </c>
      <c r="AU108" s="167">
        <f t="shared" si="352"/>
        <v>25</v>
      </c>
      <c r="AV108" s="190">
        <f t="shared" si="353"/>
        <v>0</v>
      </c>
      <c r="AW108" s="198">
        <f t="shared" si="354"/>
        <v>25</v>
      </c>
      <c r="AX108" s="199">
        <f t="shared" si="355"/>
        <v>0.10121665678542335</v>
      </c>
    </row>
    <row r="109" spans="1:50" s="55" customFormat="1" outlineLevel="1" x14ac:dyDescent="0.25">
      <c r="A109"/>
      <c r="B109" s="52" t="s">
        <v>285</v>
      </c>
      <c r="C109" s="64" t="s">
        <v>22</v>
      </c>
      <c r="D109" s="73"/>
      <c r="E109" s="74"/>
      <c r="F109" s="73"/>
      <c r="G109" s="167">
        <f t="shared" si="334"/>
        <v>0</v>
      </c>
      <c r="H109" s="203">
        <f t="shared" si="335"/>
        <v>0</v>
      </c>
      <c r="I109" s="73"/>
      <c r="J109" s="167">
        <f t="shared" si="336"/>
        <v>0</v>
      </c>
      <c r="K109" s="203">
        <f t="shared" si="337"/>
        <v>0</v>
      </c>
      <c r="L109" s="73"/>
      <c r="M109" s="167">
        <f t="shared" si="338"/>
        <v>0</v>
      </c>
      <c r="N109" s="203">
        <f t="shared" si="339"/>
        <v>0</v>
      </c>
      <c r="O109" s="73"/>
      <c r="P109" s="151"/>
      <c r="Q109" s="154"/>
      <c r="R109" s="73"/>
      <c r="S109" s="167">
        <f t="shared" si="340"/>
        <v>0</v>
      </c>
      <c r="T109" s="203">
        <f t="shared" si="341"/>
        <v>0</v>
      </c>
      <c r="U109" s="198">
        <f t="shared" si="342"/>
        <v>0</v>
      </c>
      <c r="V109" s="199">
        <f t="shared" si="343"/>
        <v>0</v>
      </c>
      <c r="W109"/>
      <c r="X109" s="206">
        <f t="shared" si="356"/>
        <v>18</v>
      </c>
      <c r="Y109" s="6">
        <f>'Ενεργές συνδέσεις'!Y109</f>
        <v>18</v>
      </c>
      <c r="Z109" s="6">
        <f>'Ενεργές συνδέσεις'!Z109</f>
        <v>0</v>
      </c>
      <c r="AA109" s="167">
        <f t="shared" si="344"/>
        <v>18</v>
      </c>
      <c r="AB109" s="203">
        <f t="shared" si="345"/>
        <v>0</v>
      </c>
      <c r="AC109" s="206">
        <f t="shared" si="357"/>
        <v>8</v>
      </c>
      <c r="AD109" s="6">
        <f>'Ενεργές συνδέσεις'!AD109</f>
        <v>8</v>
      </c>
      <c r="AE109" s="6">
        <f>'Ενεργές συνδέσεις'!AE109</f>
        <v>0</v>
      </c>
      <c r="AF109" s="167">
        <f t="shared" si="346"/>
        <v>26</v>
      </c>
      <c r="AG109" s="190">
        <f t="shared" si="347"/>
        <v>0.44444444444444442</v>
      </c>
      <c r="AH109" s="206">
        <f t="shared" si="358"/>
        <v>7</v>
      </c>
      <c r="AI109" s="6">
        <f>'Ενεργές συνδέσεις'!AI109</f>
        <v>7</v>
      </c>
      <c r="AJ109" s="6">
        <f>'Ενεργές συνδέσεις'!AJ109</f>
        <v>0</v>
      </c>
      <c r="AK109" s="167">
        <f t="shared" si="348"/>
        <v>33</v>
      </c>
      <c r="AL109" s="190">
        <f t="shared" si="349"/>
        <v>0.26923076923076922</v>
      </c>
      <c r="AM109" s="206">
        <f t="shared" si="359"/>
        <v>0</v>
      </c>
      <c r="AN109" s="6">
        <f>'Ενεργές συνδέσεις'!AN109</f>
        <v>0</v>
      </c>
      <c r="AO109" s="6">
        <f>'Ενεργές συνδέσεις'!AO109</f>
        <v>0</v>
      </c>
      <c r="AP109" s="167">
        <f t="shared" si="350"/>
        <v>33</v>
      </c>
      <c r="AQ109" s="190">
        <f t="shared" si="351"/>
        <v>0</v>
      </c>
      <c r="AR109" s="206">
        <f t="shared" si="360"/>
        <v>0</v>
      </c>
      <c r="AS109" s="6">
        <f>'Ενεργές συνδέσεις'!AS109</f>
        <v>0</v>
      </c>
      <c r="AT109" s="6">
        <f>'Ενεργές συνδέσεις'!AT109</f>
        <v>0</v>
      </c>
      <c r="AU109" s="167">
        <f t="shared" si="352"/>
        <v>33</v>
      </c>
      <c r="AV109" s="190">
        <f t="shared" si="353"/>
        <v>0</v>
      </c>
      <c r="AW109" s="198">
        <f t="shared" si="354"/>
        <v>33</v>
      </c>
      <c r="AX109" s="199">
        <f t="shared" si="355"/>
        <v>0.16361780700222184</v>
      </c>
    </row>
    <row r="110" spans="1:50" outlineLevel="1" x14ac:dyDescent="0.25">
      <c r="B110" s="52" t="s">
        <v>286</v>
      </c>
      <c r="C110" s="64" t="s">
        <v>22</v>
      </c>
      <c r="D110" s="71"/>
      <c r="E110" s="72"/>
      <c r="F110" s="71"/>
      <c r="G110" s="167">
        <f t="shared" si="334"/>
        <v>0</v>
      </c>
      <c r="H110" s="203">
        <f t="shared" si="335"/>
        <v>0</v>
      </c>
      <c r="I110" s="71"/>
      <c r="J110" s="167">
        <f t="shared" si="336"/>
        <v>0</v>
      </c>
      <c r="K110" s="203">
        <f t="shared" si="337"/>
        <v>0</v>
      </c>
      <c r="L110" s="71"/>
      <c r="M110" s="167">
        <f t="shared" si="338"/>
        <v>0</v>
      </c>
      <c r="N110" s="203">
        <f t="shared" si="339"/>
        <v>0</v>
      </c>
      <c r="O110" s="71"/>
      <c r="P110" s="33"/>
      <c r="Q110" s="157"/>
      <c r="R110" s="71"/>
      <c r="S110" s="167">
        <f t="shared" si="340"/>
        <v>0</v>
      </c>
      <c r="T110" s="203">
        <f t="shared" si="341"/>
        <v>0</v>
      </c>
      <c r="U110" s="198">
        <f t="shared" si="342"/>
        <v>0</v>
      </c>
      <c r="V110" s="199">
        <f t="shared" si="343"/>
        <v>0</v>
      </c>
      <c r="X110" s="206">
        <f t="shared" si="356"/>
        <v>4</v>
      </c>
      <c r="Y110" s="6">
        <f>'Ενεργές συνδέσεις'!Y110</f>
        <v>4</v>
      </c>
      <c r="Z110" s="6">
        <f>'Ενεργές συνδέσεις'!Z110</f>
        <v>0</v>
      </c>
      <c r="AA110" s="167">
        <f t="shared" si="344"/>
        <v>4</v>
      </c>
      <c r="AB110" s="203">
        <f t="shared" si="345"/>
        <v>0</v>
      </c>
      <c r="AC110" s="206">
        <f t="shared" si="357"/>
        <v>16</v>
      </c>
      <c r="AD110" s="6">
        <f>'Ενεργές συνδέσεις'!AD110</f>
        <v>16</v>
      </c>
      <c r="AE110" s="6">
        <f>'Ενεργές συνδέσεις'!AE110</f>
        <v>0</v>
      </c>
      <c r="AF110" s="167">
        <f t="shared" si="346"/>
        <v>20</v>
      </c>
      <c r="AG110" s="190">
        <f t="shared" si="347"/>
        <v>4</v>
      </c>
      <c r="AH110" s="206">
        <f t="shared" si="358"/>
        <v>4</v>
      </c>
      <c r="AI110" s="6">
        <f>'Ενεργές συνδέσεις'!AI110</f>
        <v>4</v>
      </c>
      <c r="AJ110" s="6">
        <f>'Ενεργές συνδέσεις'!AJ110</f>
        <v>0</v>
      </c>
      <c r="AK110" s="167">
        <f t="shared" si="348"/>
        <v>24</v>
      </c>
      <c r="AL110" s="190">
        <f t="shared" si="349"/>
        <v>0.2</v>
      </c>
      <c r="AM110" s="206">
        <f t="shared" si="359"/>
        <v>2</v>
      </c>
      <c r="AN110" s="6">
        <f>'Ενεργές συνδέσεις'!AN110</f>
        <v>2</v>
      </c>
      <c r="AO110" s="6">
        <f>'Ενεργές συνδέσεις'!AO110</f>
        <v>0</v>
      </c>
      <c r="AP110" s="167">
        <f t="shared" si="350"/>
        <v>26</v>
      </c>
      <c r="AQ110" s="190">
        <f t="shared" si="351"/>
        <v>8.3333333333333329E-2</v>
      </c>
      <c r="AR110" s="206">
        <f t="shared" si="360"/>
        <v>2</v>
      </c>
      <c r="AS110" s="6">
        <f>'Ενεργές συνδέσεις'!AS110</f>
        <v>2</v>
      </c>
      <c r="AT110" s="6">
        <f>'Ενεργές συνδέσεις'!AT110</f>
        <v>0</v>
      </c>
      <c r="AU110" s="167">
        <f t="shared" si="352"/>
        <v>28</v>
      </c>
      <c r="AV110" s="190">
        <f t="shared" si="353"/>
        <v>7.6923076923076927E-2</v>
      </c>
      <c r="AW110" s="198">
        <f t="shared" si="354"/>
        <v>28</v>
      </c>
      <c r="AX110" s="199">
        <f t="shared" si="355"/>
        <v>0.62657656169778564</v>
      </c>
    </row>
    <row r="111" spans="1:50" s="55" customFormat="1" outlineLevel="1" x14ac:dyDescent="0.25">
      <c r="A111"/>
      <c r="B111" s="52" t="s">
        <v>287</v>
      </c>
      <c r="C111" s="64" t="s">
        <v>22</v>
      </c>
      <c r="D111" s="73"/>
      <c r="E111" s="74"/>
      <c r="F111" s="73"/>
      <c r="G111" s="167">
        <f t="shared" si="334"/>
        <v>0</v>
      </c>
      <c r="H111" s="203">
        <f t="shared" si="335"/>
        <v>0</v>
      </c>
      <c r="I111" s="73"/>
      <c r="J111" s="167">
        <f t="shared" si="336"/>
        <v>0</v>
      </c>
      <c r="K111" s="203">
        <f t="shared" si="337"/>
        <v>0</v>
      </c>
      <c r="L111" s="73"/>
      <c r="M111" s="167">
        <f t="shared" si="338"/>
        <v>0</v>
      </c>
      <c r="N111" s="203">
        <f t="shared" si="339"/>
        <v>0</v>
      </c>
      <c r="O111" s="73"/>
      <c r="P111" s="151"/>
      <c r="Q111" s="154"/>
      <c r="R111" s="73"/>
      <c r="S111" s="167">
        <f t="shared" si="340"/>
        <v>0</v>
      </c>
      <c r="T111" s="203">
        <f t="shared" si="341"/>
        <v>0</v>
      </c>
      <c r="U111" s="198">
        <f t="shared" si="342"/>
        <v>0</v>
      </c>
      <c r="V111" s="199">
        <f t="shared" si="343"/>
        <v>0</v>
      </c>
      <c r="W111"/>
      <c r="X111" s="206">
        <f t="shared" si="356"/>
        <v>0</v>
      </c>
      <c r="Y111" s="6">
        <f>'Ενεργές συνδέσεις'!Y111</f>
        <v>0</v>
      </c>
      <c r="Z111" s="6">
        <f>'Ενεργές συνδέσεις'!Z111</f>
        <v>0</v>
      </c>
      <c r="AA111" s="167">
        <f t="shared" si="344"/>
        <v>0</v>
      </c>
      <c r="AB111" s="203">
        <f t="shared" si="345"/>
        <v>0</v>
      </c>
      <c r="AC111" s="206">
        <f t="shared" si="357"/>
        <v>45</v>
      </c>
      <c r="AD111" s="6">
        <f>'Ενεργές συνδέσεις'!AD111</f>
        <v>45</v>
      </c>
      <c r="AE111" s="6">
        <f>'Ενεργές συνδέσεις'!AE111</f>
        <v>0</v>
      </c>
      <c r="AF111" s="167">
        <f t="shared" si="346"/>
        <v>45</v>
      </c>
      <c r="AG111" s="190">
        <f t="shared" si="347"/>
        <v>0</v>
      </c>
      <c r="AH111" s="206">
        <f t="shared" si="358"/>
        <v>2</v>
      </c>
      <c r="AI111" s="6">
        <f>'Ενεργές συνδέσεις'!AI111</f>
        <v>2</v>
      </c>
      <c r="AJ111" s="6">
        <f>'Ενεργές συνδέσεις'!AJ111</f>
        <v>0</v>
      </c>
      <c r="AK111" s="167">
        <f t="shared" si="348"/>
        <v>47</v>
      </c>
      <c r="AL111" s="190">
        <f t="shared" si="349"/>
        <v>4.4444444444444446E-2</v>
      </c>
      <c r="AM111" s="206">
        <f t="shared" si="359"/>
        <v>2</v>
      </c>
      <c r="AN111" s="6">
        <f>'Ενεργές συνδέσεις'!AN111</f>
        <v>2</v>
      </c>
      <c r="AO111" s="6">
        <f>'Ενεργές συνδέσεις'!AO111</f>
        <v>0</v>
      </c>
      <c r="AP111" s="167">
        <f t="shared" si="350"/>
        <v>49</v>
      </c>
      <c r="AQ111" s="190">
        <f t="shared" si="351"/>
        <v>4.2553191489361701E-2</v>
      </c>
      <c r="AR111" s="206">
        <f t="shared" si="360"/>
        <v>2</v>
      </c>
      <c r="AS111" s="6">
        <f>'Ενεργές συνδέσεις'!AS111</f>
        <v>2</v>
      </c>
      <c r="AT111" s="6">
        <f>'Ενεργές συνδέσεις'!AT111</f>
        <v>0</v>
      </c>
      <c r="AU111" s="167">
        <f t="shared" si="352"/>
        <v>51</v>
      </c>
      <c r="AV111" s="190">
        <f t="shared" si="353"/>
        <v>4.0816326530612242E-2</v>
      </c>
      <c r="AW111" s="198">
        <f t="shared" si="354"/>
        <v>51</v>
      </c>
      <c r="AX111" s="199">
        <f t="shared" si="355"/>
        <v>0</v>
      </c>
    </row>
    <row r="112" spans="1:50" outlineLevel="1" x14ac:dyDescent="0.25">
      <c r="B112" s="52" t="s">
        <v>288</v>
      </c>
      <c r="C112" s="64" t="s">
        <v>22</v>
      </c>
      <c r="D112" s="71"/>
      <c r="E112" s="72"/>
      <c r="F112" s="71"/>
      <c r="G112" s="167">
        <f t="shared" si="334"/>
        <v>0</v>
      </c>
      <c r="H112" s="203">
        <f t="shared" si="335"/>
        <v>0</v>
      </c>
      <c r="I112" s="71"/>
      <c r="J112" s="167">
        <f t="shared" si="336"/>
        <v>0</v>
      </c>
      <c r="K112" s="203">
        <f t="shared" si="337"/>
        <v>0</v>
      </c>
      <c r="L112" s="71"/>
      <c r="M112" s="167">
        <f t="shared" si="338"/>
        <v>0</v>
      </c>
      <c r="N112" s="203">
        <f t="shared" si="339"/>
        <v>0</v>
      </c>
      <c r="O112" s="71"/>
      <c r="P112" s="33"/>
      <c r="Q112" s="157"/>
      <c r="R112" s="71"/>
      <c r="S112" s="167">
        <f t="shared" si="340"/>
        <v>0</v>
      </c>
      <c r="T112" s="203">
        <f t="shared" si="341"/>
        <v>0</v>
      </c>
      <c r="U112" s="198">
        <f t="shared" si="342"/>
        <v>0</v>
      </c>
      <c r="V112" s="199">
        <f t="shared" si="343"/>
        <v>0</v>
      </c>
      <c r="X112" s="206">
        <f t="shared" si="356"/>
        <v>14</v>
      </c>
      <c r="Y112" s="6">
        <f>'Ενεργές συνδέσεις'!Y112</f>
        <v>14</v>
      </c>
      <c r="Z112" s="6">
        <f>'Ενεργές συνδέσεις'!Z112</f>
        <v>0</v>
      </c>
      <c r="AA112" s="167">
        <f t="shared" si="344"/>
        <v>14</v>
      </c>
      <c r="AB112" s="203">
        <f t="shared" si="345"/>
        <v>0</v>
      </c>
      <c r="AC112" s="206">
        <f t="shared" si="357"/>
        <v>1</v>
      </c>
      <c r="AD112" s="6">
        <f>'Ενεργές συνδέσεις'!AD112</f>
        <v>1</v>
      </c>
      <c r="AE112" s="6">
        <f>'Ενεργές συνδέσεις'!AE112</f>
        <v>0</v>
      </c>
      <c r="AF112" s="167">
        <f t="shared" si="346"/>
        <v>15</v>
      </c>
      <c r="AG112" s="190">
        <f t="shared" si="347"/>
        <v>7.1428571428571425E-2</v>
      </c>
      <c r="AH112" s="206">
        <f t="shared" si="358"/>
        <v>0</v>
      </c>
      <c r="AI112" s="6">
        <f>'Ενεργές συνδέσεις'!AI112</f>
        <v>0</v>
      </c>
      <c r="AJ112" s="6">
        <f>'Ενεργές συνδέσεις'!AJ112</f>
        <v>0</v>
      </c>
      <c r="AK112" s="167">
        <f t="shared" si="348"/>
        <v>15</v>
      </c>
      <c r="AL112" s="190">
        <f t="shared" si="349"/>
        <v>0</v>
      </c>
      <c r="AM112" s="206">
        <f t="shared" si="359"/>
        <v>0</v>
      </c>
      <c r="AN112" s="6">
        <f>'Ενεργές συνδέσεις'!AN112</f>
        <v>0</v>
      </c>
      <c r="AO112" s="6">
        <f>'Ενεργές συνδέσεις'!AO112</f>
        <v>0</v>
      </c>
      <c r="AP112" s="167">
        <f t="shared" si="350"/>
        <v>15</v>
      </c>
      <c r="AQ112" s="190">
        <f t="shared" si="351"/>
        <v>0</v>
      </c>
      <c r="AR112" s="206">
        <f t="shared" si="360"/>
        <v>0</v>
      </c>
      <c r="AS112" s="6">
        <f>'Ενεργές συνδέσεις'!AS112</f>
        <v>0</v>
      </c>
      <c r="AT112" s="6">
        <f>'Ενεργές συνδέσεις'!AT112</f>
        <v>0</v>
      </c>
      <c r="AU112" s="167">
        <f t="shared" si="352"/>
        <v>15</v>
      </c>
      <c r="AV112" s="190">
        <f t="shared" si="353"/>
        <v>0</v>
      </c>
      <c r="AW112" s="198">
        <f t="shared" si="354"/>
        <v>15</v>
      </c>
      <c r="AX112" s="199">
        <f t="shared" si="355"/>
        <v>1.7397827309224789E-2</v>
      </c>
    </row>
    <row r="113" spans="2:50" ht="16.5" customHeight="1" outlineLevel="1" x14ac:dyDescent="0.25">
      <c r="B113" s="52" t="s">
        <v>289</v>
      </c>
      <c r="C113" s="64" t="s">
        <v>22</v>
      </c>
      <c r="D113" s="71"/>
      <c r="E113" s="72"/>
      <c r="F113" s="71"/>
      <c r="G113" s="167">
        <f t="shared" si="334"/>
        <v>0</v>
      </c>
      <c r="H113" s="203">
        <f t="shared" si="335"/>
        <v>0</v>
      </c>
      <c r="I113" s="71"/>
      <c r="J113" s="167">
        <f t="shared" si="336"/>
        <v>0</v>
      </c>
      <c r="K113" s="203">
        <f t="shared" si="337"/>
        <v>0</v>
      </c>
      <c r="L113" s="71"/>
      <c r="M113" s="167">
        <f t="shared" si="338"/>
        <v>0</v>
      </c>
      <c r="N113" s="203">
        <f t="shared" si="339"/>
        <v>0</v>
      </c>
      <c r="O113" s="71"/>
      <c r="P113" s="33"/>
      <c r="Q113" s="157"/>
      <c r="R113" s="71"/>
      <c r="S113" s="167">
        <f t="shared" si="340"/>
        <v>0</v>
      </c>
      <c r="T113" s="203">
        <f t="shared" si="341"/>
        <v>0</v>
      </c>
      <c r="U113" s="198">
        <f t="shared" si="342"/>
        <v>0</v>
      </c>
      <c r="V113" s="199">
        <f t="shared" si="343"/>
        <v>0</v>
      </c>
      <c r="X113" s="206">
        <f t="shared" si="356"/>
        <v>21</v>
      </c>
      <c r="Y113" s="6">
        <f>'Ενεργές συνδέσεις'!Y113</f>
        <v>21</v>
      </c>
      <c r="Z113" s="6">
        <f>'Ενεργές συνδέσεις'!Z113</f>
        <v>0</v>
      </c>
      <c r="AA113" s="167">
        <f t="shared" si="344"/>
        <v>21</v>
      </c>
      <c r="AB113" s="203">
        <f t="shared" si="345"/>
        <v>0</v>
      </c>
      <c r="AC113" s="206">
        <f t="shared" si="357"/>
        <v>11</v>
      </c>
      <c r="AD113" s="6">
        <f>'Ενεργές συνδέσεις'!AD113</f>
        <v>11</v>
      </c>
      <c r="AE113" s="6">
        <f>'Ενεργές συνδέσεις'!AE113</f>
        <v>0</v>
      </c>
      <c r="AF113" s="167">
        <f t="shared" si="346"/>
        <v>32</v>
      </c>
      <c r="AG113" s="190">
        <f t="shared" si="347"/>
        <v>0.52380952380952384</v>
      </c>
      <c r="AH113" s="206">
        <f t="shared" si="358"/>
        <v>3</v>
      </c>
      <c r="AI113" s="6">
        <f>'Ενεργές συνδέσεις'!AI113</f>
        <v>3</v>
      </c>
      <c r="AJ113" s="6">
        <f>'Ενεργές συνδέσεις'!AJ113</f>
        <v>0</v>
      </c>
      <c r="AK113" s="167">
        <f t="shared" si="348"/>
        <v>35</v>
      </c>
      <c r="AL113" s="190">
        <f t="shared" si="349"/>
        <v>9.375E-2</v>
      </c>
      <c r="AM113" s="206">
        <f t="shared" si="359"/>
        <v>2</v>
      </c>
      <c r="AN113" s="6">
        <f>'Ενεργές συνδέσεις'!AN113</f>
        <v>2</v>
      </c>
      <c r="AO113" s="6">
        <f>'Ενεργές συνδέσεις'!AO113</f>
        <v>0</v>
      </c>
      <c r="AP113" s="167">
        <f t="shared" si="350"/>
        <v>37</v>
      </c>
      <c r="AQ113" s="190">
        <f t="shared" si="351"/>
        <v>5.7142857142857141E-2</v>
      </c>
      <c r="AR113" s="206">
        <f t="shared" si="360"/>
        <v>1</v>
      </c>
      <c r="AS113" s="6">
        <f>'Ενεργές συνδέσεις'!AS113</f>
        <v>1</v>
      </c>
      <c r="AT113" s="6">
        <f>'Ενεργές συνδέσεις'!AT113</f>
        <v>0</v>
      </c>
      <c r="AU113" s="167">
        <f t="shared" si="352"/>
        <v>38</v>
      </c>
      <c r="AV113" s="190">
        <f t="shared" si="353"/>
        <v>2.7027027027027029E-2</v>
      </c>
      <c r="AW113" s="198">
        <f t="shared" si="354"/>
        <v>38</v>
      </c>
      <c r="AX113" s="199">
        <f t="shared" si="355"/>
        <v>0.15982128721156807</v>
      </c>
    </row>
    <row r="114" spans="2:50" ht="16.5" customHeight="1" outlineLevel="1" x14ac:dyDescent="0.25">
      <c r="B114" s="52" t="s">
        <v>290</v>
      </c>
      <c r="C114" s="64" t="s">
        <v>22</v>
      </c>
      <c r="D114" s="71"/>
      <c r="E114" s="72"/>
      <c r="F114" s="71"/>
      <c r="G114" s="167">
        <f t="shared" si="334"/>
        <v>0</v>
      </c>
      <c r="H114" s="203">
        <f t="shared" si="335"/>
        <v>0</v>
      </c>
      <c r="I114" s="71"/>
      <c r="J114" s="167">
        <f t="shared" si="336"/>
        <v>0</v>
      </c>
      <c r="K114" s="203">
        <f t="shared" si="337"/>
        <v>0</v>
      </c>
      <c r="L114" s="71"/>
      <c r="M114" s="167">
        <f t="shared" si="338"/>
        <v>0</v>
      </c>
      <c r="N114" s="203">
        <f t="shared" si="339"/>
        <v>0</v>
      </c>
      <c r="O114" s="71"/>
      <c r="P114" s="33"/>
      <c r="Q114" s="157"/>
      <c r="R114" s="71"/>
      <c r="S114" s="167">
        <f t="shared" si="340"/>
        <v>0</v>
      </c>
      <c r="T114" s="203">
        <f t="shared" si="341"/>
        <v>0</v>
      </c>
      <c r="U114" s="198">
        <f t="shared" si="342"/>
        <v>0</v>
      </c>
      <c r="V114" s="199">
        <f t="shared" si="343"/>
        <v>0</v>
      </c>
      <c r="X114" s="206">
        <f t="shared" si="356"/>
        <v>53</v>
      </c>
      <c r="Y114" s="6">
        <f>'Ενεργές συνδέσεις'!Y114</f>
        <v>53</v>
      </c>
      <c r="Z114" s="6">
        <f>'Ενεργές συνδέσεις'!Z114</f>
        <v>0</v>
      </c>
      <c r="AA114" s="167">
        <f t="shared" si="344"/>
        <v>53</v>
      </c>
      <c r="AB114" s="203">
        <f t="shared" si="345"/>
        <v>0</v>
      </c>
      <c r="AC114" s="206">
        <f t="shared" si="357"/>
        <v>7</v>
      </c>
      <c r="AD114" s="6">
        <f>'Ενεργές συνδέσεις'!AD114</f>
        <v>7</v>
      </c>
      <c r="AE114" s="6">
        <f>'Ενεργές συνδέσεις'!AE114</f>
        <v>0</v>
      </c>
      <c r="AF114" s="167">
        <f t="shared" si="346"/>
        <v>60</v>
      </c>
      <c r="AG114" s="190">
        <f t="shared" si="347"/>
        <v>0.13207547169811321</v>
      </c>
      <c r="AH114" s="206">
        <f t="shared" si="358"/>
        <v>3</v>
      </c>
      <c r="AI114" s="6">
        <f>'Ενεργές συνδέσεις'!AI114</f>
        <v>3</v>
      </c>
      <c r="AJ114" s="6">
        <f>'Ενεργές συνδέσεις'!AJ114</f>
        <v>0</v>
      </c>
      <c r="AK114" s="167">
        <f t="shared" si="348"/>
        <v>63</v>
      </c>
      <c r="AL114" s="190">
        <f t="shared" si="349"/>
        <v>0.05</v>
      </c>
      <c r="AM114" s="206">
        <f t="shared" si="359"/>
        <v>2</v>
      </c>
      <c r="AN114" s="6">
        <f>'Ενεργές συνδέσεις'!AN114</f>
        <v>2</v>
      </c>
      <c r="AO114" s="6">
        <f>'Ενεργές συνδέσεις'!AO114</f>
        <v>0</v>
      </c>
      <c r="AP114" s="167">
        <f t="shared" si="350"/>
        <v>65</v>
      </c>
      <c r="AQ114" s="190">
        <f t="shared" si="351"/>
        <v>3.1746031746031744E-2</v>
      </c>
      <c r="AR114" s="206">
        <f t="shared" si="360"/>
        <v>1</v>
      </c>
      <c r="AS114" s="6">
        <f>'Ενεργές συνδέσεις'!AS114</f>
        <v>1</v>
      </c>
      <c r="AT114" s="6">
        <f>'Ενεργές συνδέσεις'!AT114</f>
        <v>0</v>
      </c>
      <c r="AU114" s="167">
        <f t="shared" si="352"/>
        <v>66</v>
      </c>
      <c r="AV114" s="190">
        <f t="shared" si="353"/>
        <v>1.5384615384615385E-2</v>
      </c>
      <c r="AW114" s="198">
        <f t="shared" si="354"/>
        <v>66</v>
      </c>
      <c r="AX114" s="199">
        <f t="shared" si="355"/>
        <v>5.6372328680377448E-2</v>
      </c>
    </row>
    <row r="115" spans="2:50" ht="16.5" customHeight="1" outlineLevel="1" x14ac:dyDescent="0.25">
      <c r="B115" s="52" t="s">
        <v>291</v>
      </c>
      <c r="C115" s="64" t="s">
        <v>22</v>
      </c>
      <c r="D115" s="71"/>
      <c r="E115" s="72"/>
      <c r="F115" s="71"/>
      <c r="G115" s="167">
        <f t="shared" si="334"/>
        <v>0</v>
      </c>
      <c r="H115" s="203">
        <f t="shared" si="335"/>
        <v>0</v>
      </c>
      <c r="I115" s="71"/>
      <c r="J115" s="167">
        <f t="shared" si="336"/>
        <v>0</v>
      </c>
      <c r="K115" s="203">
        <f t="shared" si="337"/>
        <v>0</v>
      </c>
      <c r="L115" s="71"/>
      <c r="M115" s="167">
        <f t="shared" si="338"/>
        <v>0</v>
      </c>
      <c r="N115" s="203">
        <f t="shared" si="339"/>
        <v>0</v>
      </c>
      <c r="O115" s="71"/>
      <c r="P115" s="33"/>
      <c r="Q115" s="157"/>
      <c r="R115" s="71"/>
      <c r="S115" s="167">
        <f t="shared" si="340"/>
        <v>0</v>
      </c>
      <c r="T115" s="203">
        <f t="shared" si="341"/>
        <v>0</v>
      </c>
      <c r="U115" s="198">
        <f t="shared" si="342"/>
        <v>0</v>
      </c>
      <c r="V115" s="199">
        <f t="shared" si="343"/>
        <v>0</v>
      </c>
      <c r="X115" s="206">
        <f t="shared" si="356"/>
        <v>0</v>
      </c>
      <c r="Y115" s="6">
        <f>'Ενεργές συνδέσεις'!Y115</f>
        <v>0</v>
      </c>
      <c r="Z115" s="6">
        <f>'Ενεργές συνδέσεις'!Z115</f>
        <v>0</v>
      </c>
      <c r="AA115" s="167">
        <f t="shared" si="344"/>
        <v>0</v>
      </c>
      <c r="AB115" s="203">
        <f t="shared" si="345"/>
        <v>0</v>
      </c>
      <c r="AC115" s="206">
        <f t="shared" si="357"/>
        <v>12</v>
      </c>
      <c r="AD115" s="6">
        <f>'Ενεργές συνδέσεις'!AD115</f>
        <v>12</v>
      </c>
      <c r="AE115" s="6">
        <f>'Ενεργές συνδέσεις'!AE115</f>
        <v>0</v>
      </c>
      <c r="AF115" s="167">
        <f t="shared" si="346"/>
        <v>12</v>
      </c>
      <c r="AG115" s="190">
        <f t="shared" si="347"/>
        <v>0</v>
      </c>
      <c r="AH115" s="206">
        <f t="shared" si="358"/>
        <v>5</v>
      </c>
      <c r="AI115" s="6">
        <f>'Ενεργές συνδέσεις'!AI115</f>
        <v>5</v>
      </c>
      <c r="AJ115" s="6">
        <f>'Ενεργές συνδέσεις'!AJ115</f>
        <v>0</v>
      </c>
      <c r="AK115" s="167">
        <f t="shared" si="348"/>
        <v>17</v>
      </c>
      <c r="AL115" s="190">
        <f t="shared" si="349"/>
        <v>0.41666666666666669</v>
      </c>
      <c r="AM115" s="206">
        <f t="shared" si="359"/>
        <v>0</v>
      </c>
      <c r="AN115" s="6">
        <f>'Ενεργές συνδέσεις'!AN115</f>
        <v>0</v>
      </c>
      <c r="AO115" s="6">
        <f>'Ενεργές συνδέσεις'!AO115</f>
        <v>0</v>
      </c>
      <c r="AP115" s="167">
        <f t="shared" si="350"/>
        <v>17</v>
      </c>
      <c r="AQ115" s="190">
        <f t="shared" si="351"/>
        <v>0</v>
      </c>
      <c r="AR115" s="206">
        <f t="shared" si="360"/>
        <v>0</v>
      </c>
      <c r="AS115" s="6">
        <f>'Ενεργές συνδέσεις'!AS115</f>
        <v>0</v>
      </c>
      <c r="AT115" s="6">
        <f>'Ενεργές συνδέσεις'!AT115</f>
        <v>0</v>
      </c>
      <c r="AU115" s="167">
        <f t="shared" si="352"/>
        <v>17</v>
      </c>
      <c r="AV115" s="190">
        <f t="shared" si="353"/>
        <v>0</v>
      </c>
      <c r="AW115" s="198">
        <f t="shared" si="354"/>
        <v>17</v>
      </c>
      <c r="AX115" s="199">
        <f t="shared" si="355"/>
        <v>0</v>
      </c>
    </row>
    <row r="116" spans="2:50" ht="16.5" customHeight="1" outlineLevel="1" x14ac:dyDescent="0.25">
      <c r="B116" s="52" t="s">
        <v>307</v>
      </c>
      <c r="C116" s="64"/>
      <c r="D116" s="71"/>
      <c r="E116" s="72"/>
      <c r="F116" s="71"/>
      <c r="G116" s="167"/>
      <c r="H116" s="203">
        <f t="shared" si="335"/>
        <v>0</v>
      </c>
      <c r="I116" s="71"/>
      <c r="J116" s="167"/>
      <c r="K116" s="203">
        <f t="shared" si="337"/>
        <v>0</v>
      </c>
      <c r="L116" s="71"/>
      <c r="M116" s="167"/>
      <c r="N116" s="203">
        <f t="shared" si="339"/>
        <v>0</v>
      </c>
      <c r="O116" s="71"/>
      <c r="P116" s="33"/>
      <c r="Q116" s="157"/>
      <c r="R116" s="71"/>
      <c r="S116" s="167"/>
      <c r="T116" s="203">
        <f t="shared" si="341"/>
        <v>0</v>
      </c>
      <c r="U116" s="198">
        <f t="shared" si="342"/>
        <v>0</v>
      </c>
      <c r="V116" s="199">
        <f t="shared" si="343"/>
        <v>0</v>
      </c>
      <c r="X116" s="206">
        <f t="shared" ref="X116:X120" si="361">Y116+Z116</f>
        <v>4</v>
      </c>
      <c r="Y116" s="6">
        <f>'Ενεργές συνδέσεις'!Y116</f>
        <v>4</v>
      </c>
      <c r="Z116" s="6">
        <f>'Ενεργές συνδέσεις'!Z116</f>
        <v>0</v>
      </c>
      <c r="AA116" s="167">
        <f t="shared" ref="AA116:AA120" si="362">S116+X116</f>
        <v>4</v>
      </c>
      <c r="AB116" s="203">
        <f t="shared" ref="AB116:AB120" si="363">IFERROR((AA116-S116)/S116,0)</f>
        <v>0</v>
      </c>
      <c r="AC116" s="206">
        <f t="shared" ref="AC116:AC120" si="364">AD116+AE116</f>
        <v>2</v>
      </c>
      <c r="AD116" s="6">
        <f>'Ενεργές συνδέσεις'!AD116</f>
        <v>2</v>
      </c>
      <c r="AE116" s="6">
        <f>'Ενεργές συνδέσεις'!AE116</f>
        <v>0</v>
      </c>
      <c r="AF116" s="167">
        <f t="shared" ref="AF116:AF120" si="365">AA116+AC116</f>
        <v>6</v>
      </c>
      <c r="AG116" s="190">
        <f t="shared" ref="AG116:AG120" si="366">IFERROR((AF116-AA116)/AA116,0)</f>
        <v>0.5</v>
      </c>
      <c r="AH116" s="206">
        <f t="shared" ref="AH116:AH120" si="367">AI116+AJ116</f>
        <v>3</v>
      </c>
      <c r="AI116" s="6">
        <f>'Ενεργές συνδέσεις'!AI116</f>
        <v>3</v>
      </c>
      <c r="AJ116" s="6">
        <f>'Ενεργές συνδέσεις'!AJ116</f>
        <v>0</v>
      </c>
      <c r="AK116" s="167">
        <f t="shared" ref="AK116:AK120" si="368">AF116+AH116</f>
        <v>9</v>
      </c>
      <c r="AL116" s="190">
        <f t="shared" ref="AL116:AL120" si="369">IFERROR((AK116-AF116)/AF116,0)</f>
        <v>0.5</v>
      </c>
      <c r="AM116" s="206">
        <f t="shared" ref="AM116:AM120" si="370">AN116+AO116</f>
        <v>1</v>
      </c>
      <c r="AN116" s="6">
        <f>'Ενεργές συνδέσεις'!AN116</f>
        <v>1</v>
      </c>
      <c r="AO116" s="6">
        <f>'Ενεργές συνδέσεις'!AO116</f>
        <v>0</v>
      </c>
      <c r="AP116" s="167">
        <f t="shared" ref="AP116:AP120" si="371">AK116+AM116</f>
        <v>10</v>
      </c>
      <c r="AQ116" s="190">
        <f t="shared" ref="AQ116:AQ120" si="372">IFERROR((AP116-AK116)/AK116,0)</f>
        <v>0.1111111111111111</v>
      </c>
      <c r="AR116" s="206">
        <f t="shared" ref="AR116:AR120" si="373">AS116+AT116</f>
        <v>0</v>
      </c>
      <c r="AS116" s="6">
        <f>'Ενεργές συνδέσεις'!AS116</f>
        <v>0</v>
      </c>
      <c r="AT116" s="6">
        <f>'Ενεργές συνδέσεις'!AT116</f>
        <v>0</v>
      </c>
      <c r="AU116" s="167">
        <f t="shared" ref="AU116:AU120" si="374">AP116+AR116</f>
        <v>10</v>
      </c>
      <c r="AV116" s="190">
        <f t="shared" ref="AV116:AV120" si="375">IFERROR((AU116-AP116)/AP116,0)</f>
        <v>0</v>
      </c>
      <c r="AW116" s="198">
        <f t="shared" ref="AW116:AW120" si="376">X116+AC116+AH116+AM116+AR116</f>
        <v>10</v>
      </c>
      <c r="AX116" s="199">
        <f t="shared" si="355"/>
        <v>0.25743342968293548</v>
      </c>
    </row>
    <row r="117" spans="2:50" ht="16.5" customHeight="1" outlineLevel="1" x14ac:dyDescent="0.25">
      <c r="B117" s="52" t="s">
        <v>304</v>
      </c>
      <c r="C117" s="64"/>
      <c r="D117" s="71"/>
      <c r="E117" s="72"/>
      <c r="F117" s="71"/>
      <c r="G117" s="167"/>
      <c r="H117" s="203">
        <f t="shared" si="335"/>
        <v>0</v>
      </c>
      <c r="I117" s="71"/>
      <c r="J117" s="167"/>
      <c r="K117" s="203">
        <f t="shared" si="337"/>
        <v>0</v>
      </c>
      <c r="L117" s="71"/>
      <c r="M117" s="167"/>
      <c r="N117" s="203">
        <f t="shared" si="339"/>
        <v>0</v>
      </c>
      <c r="O117" s="71"/>
      <c r="P117" s="33"/>
      <c r="Q117" s="157"/>
      <c r="R117" s="71"/>
      <c r="S117" s="167"/>
      <c r="T117" s="203">
        <f t="shared" si="341"/>
        <v>0</v>
      </c>
      <c r="U117" s="198">
        <f t="shared" si="342"/>
        <v>0</v>
      </c>
      <c r="V117" s="199">
        <f t="shared" si="343"/>
        <v>0</v>
      </c>
      <c r="X117" s="206">
        <f t="shared" si="361"/>
        <v>6</v>
      </c>
      <c r="Y117" s="6">
        <f>'Ενεργές συνδέσεις'!Y117</f>
        <v>6</v>
      </c>
      <c r="Z117" s="6">
        <f>'Ενεργές συνδέσεις'!Z117</f>
        <v>0</v>
      </c>
      <c r="AA117" s="167">
        <f t="shared" si="362"/>
        <v>6</v>
      </c>
      <c r="AB117" s="203">
        <f t="shared" si="363"/>
        <v>0</v>
      </c>
      <c r="AC117" s="206">
        <f t="shared" si="364"/>
        <v>2</v>
      </c>
      <c r="AD117" s="6">
        <f>'Ενεργές συνδέσεις'!AD117</f>
        <v>2</v>
      </c>
      <c r="AE117" s="6">
        <f>'Ενεργές συνδέσεις'!AE117</f>
        <v>0</v>
      </c>
      <c r="AF117" s="167">
        <f t="shared" si="365"/>
        <v>8</v>
      </c>
      <c r="AG117" s="190">
        <f t="shared" si="366"/>
        <v>0.33333333333333331</v>
      </c>
      <c r="AH117" s="206">
        <f t="shared" si="367"/>
        <v>2</v>
      </c>
      <c r="AI117" s="6">
        <f>'Ενεργές συνδέσεις'!AI117</f>
        <v>2</v>
      </c>
      <c r="AJ117" s="6">
        <f>'Ενεργές συνδέσεις'!AJ117</f>
        <v>0</v>
      </c>
      <c r="AK117" s="167">
        <f t="shared" si="368"/>
        <v>10</v>
      </c>
      <c r="AL117" s="190">
        <f t="shared" si="369"/>
        <v>0.25</v>
      </c>
      <c r="AM117" s="206">
        <f t="shared" si="370"/>
        <v>1</v>
      </c>
      <c r="AN117" s="6">
        <f>'Ενεργές συνδέσεις'!AN117</f>
        <v>1</v>
      </c>
      <c r="AO117" s="6">
        <f>'Ενεργές συνδέσεις'!AO117</f>
        <v>0</v>
      </c>
      <c r="AP117" s="167">
        <f t="shared" si="371"/>
        <v>11</v>
      </c>
      <c r="AQ117" s="190">
        <f t="shared" si="372"/>
        <v>0.1</v>
      </c>
      <c r="AR117" s="206">
        <f t="shared" si="373"/>
        <v>0</v>
      </c>
      <c r="AS117" s="6">
        <f>'Ενεργές συνδέσεις'!AS117</f>
        <v>0</v>
      </c>
      <c r="AT117" s="6">
        <f>'Ενεργές συνδέσεις'!AT117</f>
        <v>0</v>
      </c>
      <c r="AU117" s="167">
        <f t="shared" si="374"/>
        <v>11</v>
      </c>
      <c r="AV117" s="190">
        <f t="shared" si="375"/>
        <v>0</v>
      </c>
      <c r="AW117" s="198">
        <f t="shared" si="376"/>
        <v>11</v>
      </c>
      <c r="AX117" s="199">
        <f t="shared" si="355"/>
        <v>0.16361780700222184</v>
      </c>
    </row>
    <row r="118" spans="2:50" ht="16.5" customHeight="1" outlineLevel="1" x14ac:dyDescent="0.25">
      <c r="B118" s="52" t="s">
        <v>305</v>
      </c>
      <c r="C118" s="64"/>
      <c r="D118" s="71"/>
      <c r="E118" s="72"/>
      <c r="F118" s="71"/>
      <c r="G118" s="167"/>
      <c r="H118" s="203">
        <f t="shared" si="335"/>
        <v>0</v>
      </c>
      <c r="I118" s="71"/>
      <c r="J118" s="167"/>
      <c r="K118" s="203">
        <f t="shared" si="337"/>
        <v>0</v>
      </c>
      <c r="L118" s="71"/>
      <c r="M118" s="167"/>
      <c r="N118" s="203">
        <f t="shared" si="339"/>
        <v>0</v>
      </c>
      <c r="O118" s="71"/>
      <c r="P118" s="33"/>
      <c r="Q118" s="157"/>
      <c r="R118" s="71"/>
      <c r="S118" s="167"/>
      <c r="T118" s="203">
        <f t="shared" si="341"/>
        <v>0</v>
      </c>
      <c r="U118" s="198">
        <f t="shared" si="342"/>
        <v>0</v>
      </c>
      <c r="V118" s="199">
        <f t="shared" si="343"/>
        <v>0</v>
      </c>
      <c r="X118" s="206">
        <f t="shared" si="361"/>
        <v>5</v>
      </c>
      <c r="Y118" s="6">
        <f>'Ενεργές συνδέσεις'!Y118</f>
        <v>5</v>
      </c>
      <c r="Z118" s="6">
        <f>'Ενεργές συνδέσεις'!Z118</f>
        <v>0</v>
      </c>
      <c r="AA118" s="167">
        <f t="shared" si="362"/>
        <v>5</v>
      </c>
      <c r="AB118" s="203">
        <f t="shared" si="363"/>
        <v>0</v>
      </c>
      <c r="AC118" s="206">
        <f t="shared" si="364"/>
        <v>2</v>
      </c>
      <c r="AD118" s="6">
        <f>'Ενεργές συνδέσεις'!AD118</f>
        <v>2</v>
      </c>
      <c r="AE118" s="6">
        <f>'Ενεργές συνδέσεις'!AE118</f>
        <v>0</v>
      </c>
      <c r="AF118" s="167">
        <f t="shared" si="365"/>
        <v>7</v>
      </c>
      <c r="AG118" s="190">
        <f t="shared" si="366"/>
        <v>0.4</v>
      </c>
      <c r="AH118" s="206">
        <f t="shared" si="367"/>
        <v>2</v>
      </c>
      <c r="AI118" s="6">
        <f>'Ενεργές συνδέσεις'!AI118</f>
        <v>2</v>
      </c>
      <c r="AJ118" s="6">
        <f>'Ενεργές συνδέσεις'!AJ118</f>
        <v>0</v>
      </c>
      <c r="AK118" s="167">
        <f t="shared" si="368"/>
        <v>9</v>
      </c>
      <c r="AL118" s="190">
        <f t="shared" si="369"/>
        <v>0.2857142857142857</v>
      </c>
      <c r="AM118" s="206">
        <f t="shared" si="370"/>
        <v>1</v>
      </c>
      <c r="AN118" s="6">
        <f>'Ενεργές συνδέσεις'!AN118</f>
        <v>1</v>
      </c>
      <c r="AO118" s="6">
        <f>'Ενεργές συνδέσεις'!AO118</f>
        <v>0</v>
      </c>
      <c r="AP118" s="167">
        <f t="shared" si="371"/>
        <v>10</v>
      </c>
      <c r="AQ118" s="190">
        <f t="shared" si="372"/>
        <v>0.1111111111111111</v>
      </c>
      <c r="AR118" s="206">
        <f t="shared" si="373"/>
        <v>0</v>
      </c>
      <c r="AS118" s="6">
        <f>'Ενεργές συνδέσεις'!AS118</f>
        <v>0</v>
      </c>
      <c r="AT118" s="6">
        <f>'Ενεργές συνδέσεις'!AT118</f>
        <v>0</v>
      </c>
      <c r="AU118" s="167">
        <f t="shared" si="374"/>
        <v>10</v>
      </c>
      <c r="AV118" s="190">
        <f t="shared" si="375"/>
        <v>0</v>
      </c>
      <c r="AW118" s="198">
        <f t="shared" si="376"/>
        <v>10</v>
      </c>
      <c r="AX118" s="199">
        <f t="shared" si="355"/>
        <v>0.18920711500272103</v>
      </c>
    </row>
    <row r="119" spans="2:50" ht="16.5" customHeight="1" outlineLevel="1" x14ac:dyDescent="0.25">
      <c r="B119" s="52" t="s">
        <v>306</v>
      </c>
      <c r="C119" s="64"/>
      <c r="D119" s="71"/>
      <c r="E119" s="72"/>
      <c r="F119" s="71"/>
      <c r="G119" s="167"/>
      <c r="H119" s="203">
        <f t="shared" si="335"/>
        <v>0</v>
      </c>
      <c r="I119" s="71"/>
      <c r="J119" s="167"/>
      <c r="K119" s="203">
        <f t="shared" si="337"/>
        <v>0</v>
      </c>
      <c r="L119" s="71"/>
      <c r="M119" s="167"/>
      <c r="N119" s="203">
        <f t="shared" si="339"/>
        <v>0</v>
      </c>
      <c r="O119" s="71"/>
      <c r="P119" s="33"/>
      <c r="Q119" s="157"/>
      <c r="R119" s="71"/>
      <c r="S119" s="167"/>
      <c r="T119" s="203">
        <f t="shared" si="341"/>
        <v>0</v>
      </c>
      <c r="U119" s="198">
        <f t="shared" si="342"/>
        <v>0</v>
      </c>
      <c r="V119" s="199">
        <f t="shared" si="343"/>
        <v>0</v>
      </c>
      <c r="X119" s="206">
        <f t="shared" si="361"/>
        <v>7</v>
      </c>
      <c r="Y119" s="6">
        <f>'Ενεργές συνδέσεις'!Y119</f>
        <v>7</v>
      </c>
      <c r="Z119" s="6">
        <f>'Ενεργές συνδέσεις'!Z119</f>
        <v>0</v>
      </c>
      <c r="AA119" s="167">
        <f t="shared" si="362"/>
        <v>7</v>
      </c>
      <c r="AB119" s="203">
        <f t="shared" si="363"/>
        <v>0</v>
      </c>
      <c r="AC119" s="206">
        <f t="shared" si="364"/>
        <v>5</v>
      </c>
      <c r="AD119" s="6">
        <f>'Ενεργές συνδέσεις'!AD119</f>
        <v>5</v>
      </c>
      <c r="AE119" s="6">
        <f>'Ενεργές συνδέσεις'!AE119</f>
        <v>0</v>
      </c>
      <c r="AF119" s="167">
        <f t="shared" si="365"/>
        <v>12</v>
      </c>
      <c r="AG119" s="190">
        <f t="shared" si="366"/>
        <v>0.7142857142857143</v>
      </c>
      <c r="AH119" s="206">
        <f t="shared" si="367"/>
        <v>4</v>
      </c>
      <c r="AI119" s="6">
        <f>'Ενεργές συνδέσεις'!AI119</f>
        <v>4</v>
      </c>
      <c r="AJ119" s="6">
        <f>'Ενεργές συνδέσεις'!AJ119</f>
        <v>0</v>
      </c>
      <c r="AK119" s="167">
        <f t="shared" si="368"/>
        <v>16</v>
      </c>
      <c r="AL119" s="190">
        <f t="shared" si="369"/>
        <v>0.33333333333333331</v>
      </c>
      <c r="AM119" s="206">
        <f t="shared" si="370"/>
        <v>5</v>
      </c>
      <c r="AN119" s="6">
        <f>'Ενεργές συνδέσεις'!AN119</f>
        <v>5</v>
      </c>
      <c r="AO119" s="6">
        <f>'Ενεργές συνδέσεις'!AO119</f>
        <v>0</v>
      </c>
      <c r="AP119" s="167">
        <f t="shared" si="371"/>
        <v>21</v>
      </c>
      <c r="AQ119" s="190">
        <f t="shared" si="372"/>
        <v>0.3125</v>
      </c>
      <c r="AR119" s="206">
        <f t="shared" si="373"/>
        <v>10</v>
      </c>
      <c r="AS119" s="6">
        <f>'Ενεργές συνδέσεις'!AS119</f>
        <v>10</v>
      </c>
      <c r="AT119" s="6">
        <f>'Ενεργές συνδέσεις'!AT119</f>
        <v>0</v>
      </c>
      <c r="AU119" s="167">
        <f t="shared" si="374"/>
        <v>31</v>
      </c>
      <c r="AV119" s="190">
        <f t="shared" si="375"/>
        <v>0.47619047619047616</v>
      </c>
      <c r="AW119" s="198">
        <f t="shared" si="376"/>
        <v>31</v>
      </c>
      <c r="AX119" s="199">
        <f t="shared" si="355"/>
        <v>0.45066092634929866</v>
      </c>
    </row>
    <row r="120" spans="2:50" ht="16.5" customHeight="1" outlineLevel="1" x14ac:dyDescent="0.25">
      <c r="B120" s="52" t="s">
        <v>308</v>
      </c>
      <c r="C120" s="64"/>
      <c r="D120" s="71"/>
      <c r="E120" s="72"/>
      <c r="F120" s="71"/>
      <c r="G120" s="167"/>
      <c r="H120" s="203">
        <f t="shared" si="335"/>
        <v>0</v>
      </c>
      <c r="I120" s="71"/>
      <c r="J120" s="167"/>
      <c r="K120" s="203">
        <f t="shared" si="337"/>
        <v>0</v>
      </c>
      <c r="L120" s="71"/>
      <c r="M120" s="167"/>
      <c r="N120" s="203">
        <f t="shared" si="339"/>
        <v>0</v>
      </c>
      <c r="O120" s="71"/>
      <c r="P120" s="33"/>
      <c r="Q120" s="157"/>
      <c r="R120" s="71"/>
      <c r="S120" s="167"/>
      <c r="T120" s="203">
        <f t="shared" si="341"/>
        <v>0</v>
      </c>
      <c r="U120" s="198">
        <f t="shared" si="342"/>
        <v>0</v>
      </c>
      <c r="V120" s="199">
        <f t="shared" si="343"/>
        <v>0</v>
      </c>
      <c r="X120" s="206">
        <f t="shared" si="361"/>
        <v>9</v>
      </c>
      <c r="Y120" s="6">
        <f>'Ενεργές συνδέσεις'!Y120</f>
        <v>9</v>
      </c>
      <c r="Z120" s="6">
        <f>'Ενεργές συνδέσεις'!Z120</f>
        <v>0</v>
      </c>
      <c r="AA120" s="167">
        <f t="shared" si="362"/>
        <v>9</v>
      </c>
      <c r="AB120" s="203">
        <f t="shared" si="363"/>
        <v>0</v>
      </c>
      <c r="AC120" s="206">
        <f t="shared" si="364"/>
        <v>15</v>
      </c>
      <c r="AD120" s="6">
        <f>'Ενεργές συνδέσεις'!AD120</f>
        <v>15</v>
      </c>
      <c r="AE120" s="6">
        <f>'Ενεργές συνδέσεις'!AE120</f>
        <v>0</v>
      </c>
      <c r="AF120" s="167">
        <f t="shared" si="365"/>
        <v>24</v>
      </c>
      <c r="AG120" s="190">
        <f t="shared" si="366"/>
        <v>1.6666666666666667</v>
      </c>
      <c r="AH120" s="206">
        <f t="shared" si="367"/>
        <v>13</v>
      </c>
      <c r="AI120" s="6">
        <f>'Ενεργές συνδέσεις'!AI120</f>
        <v>13</v>
      </c>
      <c r="AJ120" s="6">
        <f>'Ενεργές συνδέσεις'!AJ120</f>
        <v>0</v>
      </c>
      <c r="AK120" s="167">
        <f t="shared" si="368"/>
        <v>37</v>
      </c>
      <c r="AL120" s="190">
        <f t="shared" si="369"/>
        <v>0.54166666666666663</v>
      </c>
      <c r="AM120" s="206">
        <f t="shared" si="370"/>
        <v>17</v>
      </c>
      <c r="AN120" s="6">
        <f>'Ενεργές συνδέσεις'!AN120</f>
        <v>17</v>
      </c>
      <c r="AO120" s="6">
        <f>'Ενεργές συνδέσεις'!AO120</f>
        <v>0</v>
      </c>
      <c r="AP120" s="167">
        <f t="shared" si="371"/>
        <v>54</v>
      </c>
      <c r="AQ120" s="190">
        <f t="shared" si="372"/>
        <v>0.45945945945945948</v>
      </c>
      <c r="AR120" s="206">
        <f t="shared" si="373"/>
        <v>10</v>
      </c>
      <c r="AS120" s="6">
        <f>'Ενεργές συνδέσεις'!AS120</f>
        <v>10</v>
      </c>
      <c r="AT120" s="6">
        <f>'Ενεργές συνδέσεις'!AT120</f>
        <v>0</v>
      </c>
      <c r="AU120" s="167">
        <f t="shared" si="374"/>
        <v>64</v>
      </c>
      <c r="AV120" s="190">
        <f t="shared" si="375"/>
        <v>0.18518518518518517</v>
      </c>
      <c r="AW120" s="198">
        <f t="shared" si="376"/>
        <v>64</v>
      </c>
      <c r="AX120" s="199">
        <f t="shared" si="355"/>
        <v>0.63299316185545207</v>
      </c>
    </row>
    <row r="121" spans="2:50" ht="16.5" customHeight="1" outlineLevel="1" x14ac:dyDescent="0.25">
      <c r="B121" s="52"/>
      <c r="C121" s="64"/>
      <c r="D121" s="71"/>
      <c r="E121" s="72"/>
      <c r="F121" s="71"/>
      <c r="G121" s="167"/>
      <c r="H121" s="203">
        <f t="shared" si="335"/>
        <v>0</v>
      </c>
      <c r="I121" s="71"/>
      <c r="J121" s="167"/>
      <c r="K121" s="203">
        <f t="shared" si="337"/>
        <v>0</v>
      </c>
      <c r="L121" s="71"/>
      <c r="M121" s="167"/>
      <c r="N121" s="203">
        <f t="shared" si="339"/>
        <v>0</v>
      </c>
      <c r="O121" s="71"/>
      <c r="P121" s="33"/>
      <c r="Q121" s="157"/>
      <c r="R121" s="71"/>
      <c r="S121" s="167"/>
      <c r="T121" s="203">
        <f t="shared" si="341"/>
        <v>0</v>
      </c>
      <c r="U121" s="198">
        <f t="shared" si="342"/>
        <v>0</v>
      </c>
      <c r="V121" s="199">
        <f t="shared" si="343"/>
        <v>0</v>
      </c>
      <c r="X121" s="206"/>
      <c r="Y121" s="6"/>
      <c r="Z121" s="6"/>
      <c r="AA121" s="167"/>
      <c r="AB121" s="203">
        <f t="shared" si="345"/>
        <v>0</v>
      </c>
      <c r="AC121" s="206"/>
      <c r="AD121" s="6"/>
      <c r="AE121" s="6"/>
      <c r="AF121" s="167"/>
      <c r="AG121" s="190">
        <f t="shared" si="347"/>
        <v>0</v>
      </c>
      <c r="AH121" s="206"/>
      <c r="AI121" s="6"/>
      <c r="AJ121" s="6"/>
      <c r="AK121" s="167"/>
      <c r="AL121" s="190">
        <f t="shared" si="349"/>
        <v>0</v>
      </c>
      <c r="AM121" s="206"/>
      <c r="AN121" s="6"/>
      <c r="AO121" s="6"/>
      <c r="AP121" s="167"/>
      <c r="AQ121" s="190">
        <f t="shared" si="351"/>
        <v>0</v>
      </c>
      <c r="AR121" s="206"/>
      <c r="AS121" s="6"/>
      <c r="AT121" s="6"/>
      <c r="AU121" s="167"/>
      <c r="AV121" s="190">
        <f t="shared" si="353"/>
        <v>0</v>
      </c>
      <c r="AW121" s="198"/>
      <c r="AX121" s="199">
        <f t="shared" si="355"/>
        <v>0</v>
      </c>
    </row>
    <row r="122" spans="2:50" ht="15" customHeight="1" outlineLevel="1" x14ac:dyDescent="0.25">
      <c r="B122" s="349" t="s">
        <v>90</v>
      </c>
      <c r="C122" s="350"/>
      <c r="D122" s="350"/>
      <c r="E122" s="350"/>
      <c r="F122" s="350"/>
      <c r="G122" s="350"/>
      <c r="H122" s="350"/>
      <c r="I122" s="350"/>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97"/>
    </row>
    <row r="123" spans="2:50" ht="15" customHeight="1" outlineLevel="1" x14ac:dyDescent="0.25">
      <c r="B123" s="52" t="s">
        <v>82</v>
      </c>
      <c r="C123" s="49" t="s">
        <v>22</v>
      </c>
      <c r="D123" s="207">
        <f>SUM(D107:D121)</f>
        <v>0</v>
      </c>
      <c r="E123" s="208">
        <f>SUM(E107:E121)</f>
        <v>0</v>
      </c>
      <c r="F123" s="207">
        <f>SUM(F107:F121)</f>
        <v>0</v>
      </c>
      <c r="G123" s="172">
        <f>SUM(G107:G121)</f>
        <v>0</v>
      </c>
      <c r="H123" s="202">
        <f>IFERROR((G123-E123)/E123,0)</f>
        <v>0</v>
      </c>
      <c r="I123" s="207">
        <f>SUM(I107:I121)</f>
        <v>0</v>
      </c>
      <c r="J123" s="172">
        <f>SUM(J107:J121)</f>
        <v>0</v>
      </c>
      <c r="K123" s="202">
        <f t="shared" ref="K123" si="377">IFERROR((J123-G123)/G123,0)</f>
        <v>0</v>
      </c>
      <c r="L123" s="207">
        <f>SUM(L107:L121)</f>
        <v>0</v>
      </c>
      <c r="M123" s="172">
        <f>SUM(M107:M121)</f>
        <v>0</v>
      </c>
      <c r="N123" s="202">
        <f t="shared" ref="N123" si="378">IFERROR((M123-J123)/J123,0)</f>
        <v>0</v>
      </c>
      <c r="O123" s="207">
        <f>SUM(O107:O121)</f>
        <v>0</v>
      </c>
      <c r="P123" s="158"/>
      <c r="Q123" s="159"/>
      <c r="R123" s="207">
        <f>SUM(R107:R121)</f>
        <v>0</v>
      </c>
      <c r="S123" s="172">
        <f>SUM(S107:S121)</f>
        <v>0</v>
      </c>
      <c r="T123" s="202">
        <f t="shared" ref="T123" si="379">IFERROR((S123-M123)/M123,0)</f>
        <v>0</v>
      </c>
      <c r="U123" s="198">
        <f>D123+F123+I123+L123+R123</f>
        <v>0</v>
      </c>
      <c r="V123" s="199">
        <f>IFERROR((S123/E123)^(1/4)-1,0)</f>
        <v>0</v>
      </c>
      <c r="X123" s="188">
        <f>SUM(X107:X121)</f>
        <v>160</v>
      </c>
      <c r="Y123" s="187">
        <f>SUM(Y107:Y121)</f>
        <v>160</v>
      </c>
      <c r="Z123" s="187">
        <f>SUM(Z107:Z121)</f>
        <v>0</v>
      </c>
      <c r="AA123" s="187">
        <f>SUM(AA107:AA121)</f>
        <v>160</v>
      </c>
      <c r="AB123" s="202">
        <f>IFERROR((AA123-S123)/S123,0)</f>
        <v>0</v>
      </c>
      <c r="AC123" s="188">
        <f>SUM(AC107:AC121)</f>
        <v>132</v>
      </c>
      <c r="AD123" s="187">
        <f>SUM(AD107:AD121)</f>
        <v>132</v>
      </c>
      <c r="AE123" s="187">
        <f>SUM(AE107:AE121)</f>
        <v>0</v>
      </c>
      <c r="AF123" s="187">
        <f>SUM(AF107:AF121)</f>
        <v>292</v>
      </c>
      <c r="AG123" s="191">
        <f t="shared" ref="AG123" si="380">IFERROR((AF123-AA123)/AA123,0)</f>
        <v>0.82499999999999996</v>
      </c>
      <c r="AH123" s="188">
        <f>SUM(AH107:AH121)</f>
        <v>52</v>
      </c>
      <c r="AI123" s="187">
        <f>SUM(AI107:AI121)</f>
        <v>52</v>
      </c>
      <c r="AJ123" s="187">
        <f>SUM(AJ107:AJ121)</f>
        <v>0</v>
      </c>
      <c r="AK123" s="187">
        <f>SUM(AK107:AK121)</f>
        <v>344</v>
      </c>
      <c r="AL123" s="191">
        <f t="shared" ref="AL123" si="381">IFERROR((AK123-AF123)/AF123,0)</f>
        <v>0.17808219178082191</v>
      </c>
      <c r="AM123" s="188">
        <f>SUM(AM107:AM121)</f>
        <v>33</v>
      </c>
      <c r="AN123" s="187">
        <f>SUM(AN107:AN121)</f>
        <v>33</v>
      </c>
      <c r="AO123" s="187">
        <f>SUM(AO107:AO121)</f>
        <v>0</v>
      </c>
      <c r="AP123" s="187">
        <f>SUM(AP107:AP121)</f>
        <v>377</v>
      </c>
      <c r="AQ123" s="191">
        <f t="shared" ref="AQ123" si="382">IFERROR((AP123-AK123)/AK123,0)</f>
        <v>9.5930232558139539E-2</v>
      </c>
      <c r="AR123" s="188">
        <f>SUM(AR107:AR121)</f>
        <v>26</v>
      </c>
      <c r="AS123" s="187">
        <f>SUM(AS107:AS121)</f>
        <v>26</v>
      </c>
      <c r="AT123" s="187">
        <f>SUM(AT107:AT121)</f>
        <v>0</v>
      </c>
      <c r="AU123" s="187">
        <f>SUM(AU107:AU121)</f>
        <v>403</v>
      </c>
      <c r="AV123" s="191">
        <f t="shared" ref="AV123" si="383">IFERROR((AU123-AP123)/AP123,0)</f>
        <v>6.8965517241379309E-2</v>
      </c>
      <c r="AW123" s="188">
        <f>SUM(AW107:AW121)</f>
        <v>403</v>
      </c>
      <c r="AX123" s="199">
        <f t="shared" ref="AX123" si="384">IFERROR((AU123/AA123)^(1/4)-1,0)</f>
        <v>0.2597845152288496</v>
      </c>
    </row>
    <row r="124" spans="2:50" x14ac:dyDescent="0.25">
      <c r="AO124" t="s">
        <v>309</v>
      </c>
    </row>
    <row r="125" spans="2:50" ht="15.75" x14ac:dyDescent="0.25">
      <c r="B125" s="352" t="s">
        <v>13</v>
      </c>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row>
    <row r="126" spans="2:50" ht="5.45" customHeight="1" outlineLevel="1" x14ac:dyDescent="0.2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row>
    <row r="127" spans="2:50" outlineLevel="1" x14ac:dyDescent="0.25">
      <c r="B127" s="393"/>
      <c r="C127" s="396" t="s">
        <v>20</v>
      </c>
      <c r="D127" s="372" t="s">
        <v>262</v>
      </c>
      <c r="E127" s="373"/>
      <c r="F127" s="373"/>
      <c r="G127" s="373"/>
      <c r="H127" s="373"/>
      <c r="I127" s="373"/>
      <c r="J127" s="373"/>
      <c r="K127" s="373"/>
      <c r="L127" s="373"/>
      <c r="M127" s="373"/>
      <c r="N127" s="373"/>
      <c r="O127" s="373"/>
      <c r="P127" s="373"/>
      <c r="Q127" s="374"/>
      <c r="R127" s="372" t="s">
        <v>260</v>
      </c>
      <c r="S127" s="373"/>
      <c r="T127" s="374"/>
      <c r="U127" s="388" t="str">
        <f xml:space="preserve"> D128&amp;" - "&amp;R128</f>
        <v>2018 - 2022</v>
      </c>
      <c r="V127" s="398"/>
      <c r="X127" s="372" t="s">
        <v>261</v>
      </c>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2:50" outlineLevel="1" x14ac:dyDescent="0.25">
      <c r="B128" s="394"/>
      <c r="C128" s="396"/>
      <c r="D128" s="372">
        <f>$C$3-5</f>
        <v>2018</v>
      </c>
      <c r="E128" s="374"/>
      <c r="F128" s="372">
        <f>$C$3-4</f>
        <v>2019</v>
      </c>
      <c r="G128" s="373"/>
      <c r="H128" s="374"/>
      <c r="I128" s="372">
        <f>$C$3-3</f>
        <v>2020</v>
      </c>
      <c r="J128" s="373"/>
      <c r="K128" s="374"/>
      <c r="L128" s="372">
        <f>$C$3-2</f>
        <v>2021</v>
      </c>
      <c r="M128" s="373"/>
      <c r="N128" s="374"/>
      <c r="O128" s="372" t="str">
        <f>$C$3-1&amp;""&amp;" ("&amp;"Σεπτ"&amp;")"</f>
        <v>2022 (Σεπτ)</v>
      </c>
      <c r="P128" s="373"/>
      <c r="Q128" s="374"/>
      <c r="R128" s="372">
        <f>$C$3-1</f>
        <v>2022</v>
      </c>
      <c r="S128" s="373"/>
      <c r="T128" s="374"/>
      <c r="U128" s="390"/>
      <c r="V128" s="399"/>
      <c r="X128" s="372">
        <f>$C$3</f>
        <v>2023</v>
      </c>
      <c r="Y128" s="373"/>
      <c r="Z128" s="373"/>
      <c r="AA128" s="373"/>
      <c r="AB128" s="374"/>
      <c r="AC128" s="372">
        <f>$C$3+1</f>
        <v>2024</v>
      </c>
      <c r="AD128" s="373"/>
      <c r="AE128" s="373"/>
      <c r="AF128" s="373"/>
      <c r="AG128" s="374"/>
      <c r="AH128" s="372">
        <f>$C$3+2</f>
        <v>2025</v>
      </c>
      <c r="AI128" s="373"/>
      <c r="AJ128" s="373"/>
      <c r="AK128" s="373"/>
      <c r="AL128" s="374"/>
      <c r="AM128" s="372">
        <f>$C$3+3</f>
        <v>2026</v>
      </c>
      <c r="AN128" s="373"/>
      <c r="AO128" s="373"/>
      <c r="AP128" s="373"/>
      <c r="AQ128" s="374"/>
      <c r="AR128" s="372">
        <f>$C$3+4</f>
        <v>2027</v>
      </c>
      <c r="AS128" s="373"/>
      <c r="AT128" s="373"/>
      <c r="AU128" s="373"/>
      <c r="AV128" s="374"/>
      <c r="AW128" s="376" t="str">
        <f>X128&amp;" - "&amp;AR128</f>
        <v>2023 - 2027</v>
      </c>
      <c r="AX128" s="392"/>
    </row>
    <row r="129" spans="1:50" ht="45" outlineLevel="1" x14ac:dyDescent="0.25">
      <c r="B129" s="395"/>
      <c r="C129" s="396"/>
      <c r="D129" s="67" t="s">
        <v>6</v>
      </c>
      <c r="E129" s="68" t="s">
        <v>7</v>
      </c>
      <c r="F129" s="67" t="s">
        <v>6</v>
      </c>
      <c r="G129" s="9" t="s">
        <v>7</v>
      </c>
      <c r="H129" s="68" t="s">
        <v>81</v>
      </c>
      <c r="I129" s="67" t="s">
        <v>6</v>
      </c>
      <c r="J129" s="9" t="s">
        <v>7</v>
      </c>
      <c r="K129" s="68" t="s">
        <v>81</v>
      </c>
      <c r="L129" s="67" t="s">
        <v>6</v>
      </c>
      <c r="M129" s="9" t="s">
        <v>7</v>
      </c>
      <c r="N129" s="68" t="s">
        <v>81</v>
      </c>
      <c r="O129" s="67" t="s">
        <v>6</v>
      </c>
      <c r="P129" s="9" t="s">
        <v>7</v>
      </c>
      <c r="Q129" s="68" t="s">
        <v>81</v>
      </c>
      <c r="R129" s="67" t="s">
        <v>6</v>
      </c>
      <c r="S129" s="9" t="s">
        <v>7</v>
      </c>
      <c r="T129" s="68" t="s">
        <v>81</v>
      </c>
      <c r="U129" s="67" t="s">
        <v>17</v>
      </c>
      <c r="V129" s="132" t="s">
        <v>83</v>
      </c>
      <c r="X129" s="67" t="s">
        <v>6</v>
      </c>
      <c r="Y129" s="117" t="s">
        <v>88</v>
      </c>
      <c r="Z129" s="117" t="s">
        <v>89</v>
      </c>
      <c r="AA129" s="9" t="s">
        <v>7</v>
      </c>
      <c r="AB129" s="68" t="s">
        <v>81</v>
      </c>
      <c r="AC129" s="67" t="s">
        <v>6</v>
      </c>
      <c r="AD129" s="117" t="s">
        <v>88</v>
      </c>
      <c r="AE129" s="117" t="s">
        <v>89</v>
      </c>
      <c r="AF129" s="9" t="s">
        <v>7</v>
      </c>
      <c r="AG129" s="68" t="s">
        <v>81</v>
      </c>
      <c r="AH129" s="67" t="s">
        <v>6</v>
      </c>
      <c r="AI129" s="117" t="s">
        <v>88</v>
      </c>
      <c r="AJ129" s="117" t="s">
        <v>89</v>
      </c>
      <c r="AK129" s="9" t="s">
        <v>7</v>
      </c>
      <c r="AL129" s="68" t="s">
        <v>81</v>
      </c>
      <c r="AM129" s="67" t="s">
        <v>6</v>
      </c>
      <c r="AN129" s="117" t="s">
        <v>88</v>
      </c>
      <c r="AO129" s="117" t="s">
        <v>89</v>
      </c>
      <c r="AP129" s="9" t="s">
        <v>7</v>
      </c>
      <c r="AQ129" s="68" t="s">
        <v>81</v>
      </c>
      <c r="AR129" s="67" t="s">
        <v>6</v>
      </c>
      <c r="AS129" s="117" t="s">
        <v>88</v>
      </c>
      <c r="AT129" s="117" t="s">
        <v>89</v>
      </c>
      <c r="AU129" s="9" t="s">
        <v>7</v>
      </c>
      <c r="AV129" s="68" t="s">
        <v>81</v>
      </c>
      <c r="AW129" s="67" t="s">
        <v>17</v>
      </c>
      <c r="AX129" s="132" t="s">
        <v>83</v>
      </c>
    </row>
    <row r="130" spans="1:50" outlineLevel="1" x14ac:dyDescent="0.25">
      <c r="B130" s="281" t="s">
        <v>283</v>
      </c>
      <c r="C130" s="64" t="s">
        <v>22</v>
      </c>
      <c r="D130" s="71"/>
      <c r="E130" s="72"/>
      <c r="F130" s="71"/>
      <c r="G130" s="167">
        <f t="shared" ref="G130:G138" si="385">E130+F130</f>
        <v>0</v>
      </c>
      <c r="H130" s="203">
        <f t="shared" ref="H130:H144" si="386">IFERROR((G130-E130)/E130,0)</f>
        <v>0</v>
      </c>
      <c r="I130" s="71"/>
      <c r="J130" s="167">
        <f t="shared" ref="J130:J138" si="387">G130+I130</f>
        <v>0</v>
      </c>
      <c r="K130" s="203">
        <f t="shared" ref="K130:K144" si="388">IFERROR((J130-G130)/G130,0)</f>
        <v>0</v>
      </c>
      <c r="L130" s="71"/>
      <c r="M130" s="167">
        <f t="shared" ref="M130:M138" si="389">J130+L130</f>
        <v>0</v>
      </c>
      <c r="N130" s="203">
        <f t="shared" ref="N130:N144" si="390">IFERROR((M130-J130)/J130,0)</f>
        <v>0</v>
      </c>
      <c r="O130" s="71"/>
      <c r="P130" s="33"/>
      <c r="Q130" s="157"/>
      <c r="R130" s="71"/>
      <c r="S130" s="167">
        <f t="shared" ref="S130:S138" si="391">M130+R130</f>
        <v>0</v>
      </c>
      <c r="T130" s="203">
        <f t="shared" ref="T130:T144" si="392">IFERROR((S130-M130)/M130,0)</f>
        <v>0</v>
      </c>
      <c r="U130" s="198">
        <f t="shared" ref="U130:U144" si="393">D130+F130+I130+L130+R130</f>
        <v>0</v>
      </c>
      <c r="V130" s="199">
        <f t="shared" ref="V130:V144" si="394">IFERROR((S130/E130)^(1/4)-1,0)</f>
        <v>0</v>
      </c>
      <c r="X130" s="206">
        <f>Y130+Z130</f>
        <v>0</v>
      </c>
      <c r="Y130" s="6">
        <f>'Ενεργές συνδέσεις'!Y130</f>
        <v>0</v>
      </c>
      <c r="Z130" s="6">
        <f>'Ενεργές συνδέσεις'!Z130</f>
        <v>0</v>
      </c>
      <c r="AA130" s="167">
        <f t="shared" ref="AA130:AA138" si="395">S130+X130</f>
        <v>0</v>
      </c>
      <c r="AB130" s="203">
        <f t="shared" ref="AB130:AB144" si="396">IFERROR((AA130-S130)/S130,0)</f>
        <v>0</v>
      </c>
      <c r="AC130" s="206">
        <f>AD130+AE130</f>
        <v>0</v>
      </c>
      <c r="AD130" s="6">
        <f>'Ενεργές συνδέσεις'!AD130</f>
        <v>0</v>
      </c>
      <c r="AE130" s="6">
        <f>'Ενεργές συνδέσεις'!AE130</f>
        <v>0</v>
      </c>
      <c r="AF130" s="167">
        <f t="shared" ref="AF130:AF138" si="397">AA130+AC130</f>
        <v>0</v>
      </c>
      <c r="AG130" s="190">
        <f t="shared" ref="AG130:AG144" si="398">IFERROR((AF130-AA130)/AA130,0)</f>
        <v>0</v>
      </c>
      <c r="AH130" s="206">
        <f>AI130+AJ130</f>
        <v>0</v>
      </c>
      <c r="AI130" s="6">
        <f>'Ενεργές συνδέσεις'!AI130</f>
        <v>0</v>
      </c>
      <c r="AJ130" s="6">
        <f>'Ενεργές συνδέσεις'!AJ130</f>
        <v>0</v>
      </c>
      <c r="AK130" s="167">
        <f t="shared" ref="AK130:AK138" si="399">AF130+AH130</f>
        <v>0</v>
      </c>
      <c r="AL130" s="190">
        <f t="shared" ref="AL130:AL144" si="400">IFERROR((AK130-AF130)/AF130,0)</f>
        <v>0</v>
      </c>
      <c r="AM130" s="206">
        <f>AN130+AO130</f>
        <v>0</v>
      </c>
      <c r="AN130" s="6">
        <f>'Ενεργές συνδέσεις'!AN130</f>
        <v>0</v>
      </c>
      <c r="AO130" s="6">
        <f>'Ενεργές συνδέσεις'!AO130</f>
        <v>0</v>
      </c>
      <c r="AP130" s="167">
        <f t="shared" ref="AP130:AP138" si="401">AK130+AM130</f>
        <v>0</v>
      </c>
      <c r="AQ130" s="190">
        <f t="shared" ref="AQ130:AQ144" si="402">IFERROR((AP130-AK130)/AK130,0)</f>
        <v>0</v>
      </c>
      <c r="AR130" s="206">
        <f>AS130+AT130</f>
        <v>0</v>
      </c>
      <c r="AS130" s="6">
        <f>'Ενεργές συνδέσεις'!AS130</f>
        <v>0</v>
      </c>
      <c r="AT130" s="6">
        <f>'Ενεργές συνδέσεις'!AT130</f>
        <v>0</v>
      </c>
      <c r="AU130" s="167">
        <f t="shared" ref="AU130:AU138" si="403">AP130+AR130</f>
        <v>0</v>
      </c>
      <c r="AV130" s="190">
        <f t="shared" ref="AV130:AV144" si="404">IFERROR((AU130-AP130)/AP130,0)</f>
        <v>0</v>
      </c>
      <c r="AW130" s="198">
        <f t="shared" ref="AW130:AW138" si="405">X130+AC130+AH130+AM130+AR130</f>
        <v>0</v>
      </c>
      <c r="AX130" s="199">
        <f t="shared" ref="AX130:AX144" si="406">IFERROR((AU130/AA130)^(1/4)-1,0)</f>
        <v>0</v>
      </c>
    </row>
    <row r="131" spans="1:50" s="55" customFormat="1" outlineLevel="1" x14ac:dyDescent="0.25">
      <c r="A131"/>
      <c r="B131" s="52" t="s">
        <v>284</v>
      </c>
      <c r="C131" s="64" t="s">
        <v>22</v>
      </c>
      <c r="D131" s="73"/>
      <c r="E131" s="74"/>
      <c r="F131" s="73"/>
      <c r="G131" s="167">
        <f t="shared" si="385"/>
        <v>0</v>
      </c>
      <c r="H131" s="203">
        <f t="shared" si="386"/>
        <v>0</v>
      </c>
      <c r="I131" s="73"/>
      <c r="J131" s="167">
        <f t="shared" si="387"/>
        <v>0</v>
      </c>
      <c r="K131" s="203">
        <f t="shared" si="388"/>
        <v>0</v>
      </c>
      <c r="L131" s="73"/>
      <c r="M131" s="167">
        <f t="shared" si="389"/>
        <v>0</v>
      </c>
      <c r="N131" s="203">
        <f t="shared" si="390"/>
        <v>0</v>
      </c>
      <c r="O131" s="73"/>
      <c r="P131" s="151"/>
      <c r="Q131" s="154"/>
      <c r="R131" s="73"/>
      <c r="S131" s="167">
        <f t="shared" si="391"/>
        <v>0</v>
      </c>
      <c r="T131" s="203">
        <f t="shared" si="392"/>
        <v>0</v>
      </c>
      <c r="U131" s="198">
        <f t="shared" si="393"/>
        <v>0</v>
      </c>
      <c r="V131" s="199">
        <f t="shared" si="394"/>
        <v>0</v>
      </c>
      <c r="W131"/>
      <c r="X131" s="206">
        <f t="shared" ref="X131:X138" si="407">Y131+Z131</f>
        <v>0</v>
      </c>
      <c r="Y131" s="6">
        <f>'Ενεργές συνδέσεις'!Y131</f>
        <v>0</v>
      </c>
      <c r="Z131" s="6">
        <f>'Ενεργές συνδέσεις'!Z131</f>
        <v>0</v>
      </c>
      <c r="AA131" s="167">
        <f t="shared" si="395"/>
        <v>0</v>
      </c>
      <c r="AB131" s="203">
        <f t="shared" si="396"/>
        <v>0</v>
      </c>
      <c r="AC131" s="206">
        <f t="shared" ref="AC131:AC138" si="408">AD131+AE131</f>
        <v>0</v>
      </c>
      <c r="AD131" s="6">
        <f>'Ενεργές συνδέσεις'!AD131</f>
        <v>0</v>
      </c>
      <c r="AE131" s="6">
        <f>'Ενεργές συνδέσεις'!AE131</f>
        <v>0</v>
      </c>
      <c r="AF131" s="167">
        <f t="shared" si="397"/>
        <v>0</v>
      </c>
      <c r="AG131" s="190">
        <f t="shared" si="398"/>
        <v>0</v>
      </c>
      <c r="AH131" s="206">
        <f t="shared" ref="AH131:AH138" si="409">AI131+AJ131</f>
        <v>0</v>
      </c>
      <c r="AI131" s="6">
        <f>'Ενεργές συνδέσεις'!AI131</f>
        <v>0</v>
      </c>
      <c r="AJ131" s="6">
        <f>'Ενεργές συνδέσεις'!AJ131</f>
        <v>0</v>
      </c>
      <c r="AK131" s="167">
        <f t="shared" si="399"/>
        <v>0</v>
      </c>
      <c r="AL131" s="190">
        <f t="shared" si="400"/>
        <v>0</v>
      </c>
      <c r="AM131" s="206">
        <f t="shared" ref="AM131:AM138" si="410">AN131+AO131</f>
        <v>0</v>
      </c>
      <c r="AN131" s="6">
        <f>'Ενεργές συνδέσεις'!AN131</f>
        <v>0</v>
      </c>
      <c r="AO131" s="6">
        <f>'Ενεργές συνδέσεις'!AO131</f>
        <v>0</v>
      </c>
      <c r="AP131" s="167">
        <f t="shared" si="401"/>
        <v>0</v>
      </c>
      <c r="AQ131" s="190">
        <f t="shared" si="402"/>
        <v>0</v>
      </c>
      <c r="AR131" s="206">
        <f t="shared" ref="AR131:AR138" si="411">AS131+AT131</f>
        <v>0</v>
      </c>
      <c r="AS131" s="6">
        <f>'Ενεργές συνδέσεις'!AS131</f>
        <v>0</v>
      </c>
      <c r="AT131" s="6">
        <f>'Ενεργές συνδέσεις'!AT131</f>
        <v>0</v>
      </c>
      <c r="AU131" s="167">
        <f t="shared" si="403"/>
        <v>0</v>
      </c>
      <c r="AV131" s="190">
        <f t="shared" si="404"/>
        <v>0</v>
      </c>
      <c r="AW131" s="198">
        <f t="shared" si="405"/>
        <v>0</v>
      </c>
      <c r="AX131" s="199">
        <f t="shared" si="406"/>
        <v>0</v>
      </c>
    </row>
    <row r="132" spans="1:50" s="55" customFormat="1" outlineLevel="1" x14ac:dyDescent="0.25">
      <c r="A132"/>
      <c r="B132" s="52" t="s">
        <v>285</v>
      </c>
      <c r="C132" s="64" t="s">
        <v>22</v>
      </c>
      <c r="D132" s="73"/>
      <c r="E132" s="74"/>
      <c r="F132" s="73"/>
      <c r="G132" s="167">
        <f t="shared" si="385"/>
        <v>0</v>
      </c>
      <c r="H132" s="203">
        <f t="shared" si="386"/>
        <v>0</v>
      </c>
      <c r="I132" s="73"/>
      <c r="J132" s="167">
        <f t="shared" si="387"/>
        <v>0</v>
      </c>
      <c r="K132" s="203">
        <f t="shared" si="388"/>
        <v>0</v>
      </c>
      <c r="L132" s="73"/>
      <c r="M132" s="167">
        <f t="shared" si="389"/>
        <v>0</v>
      </c>
      <c r="N132" s="203">
        <f t="shared" si="390"/>
        <v>0</v>
      </c>
      <c r="O132" s="73"/>
      <c r="P132" s="151"/>
      <c r="Q132" s="154"/>
      <c r="R132" s="73"/>
      <c r="S132" s="167">
        <f t="shared" si="391"/>
        <v>0</v>
      </c>
      <c r="T132" s="203">
        <f t="shared" si="392"/>
        <v>0</v>
      </c>
      <c r="U132" s="198">
        <f t="shared" si="393"/>
        <v>0</v>
      </c>
      <c r="V132" s="199">
        <f t="shared" si="394"/>
        <v>0</v>
      </c>
      <c r="W132"/>
      <c r="X132" s="206">
        <f t="shared" si="407"/>
        <v>0</v>
      </c>
      <c r="Y132" s="6">
        <f>'Ενεργές συνδέσεις'!Y132</f>
        <v>0</v>
      </c>
      <c r="Z132" s="6">
        <f>'Ενεργές συνδέσεις'!Z132</f>
        <v>0</v>
      </c>
      <c r="AA132" s="167">
        <f t="shared" si="395"/>
        <v>0</v>
      </c>
      <c r="AB132" s="203">
        <f t="shared" si="396"/>
        <v>0</v>
      </c>
      <c r="AC132" s="206">
        <f t="shared" si="408"/>
        <v>0</v>
      </c>
      <c r="AD132" s="6">
        <f>'Ενεργές συνδέσεις'!AD132</f>
        <v>0</v>
      </c>
      <c r="AE132" s="6">
        <f>'Ενεργές συνδέσεις'!AE132</f>
        <v>0</v>
      </c>
      <c r="AF132" s="167">
        <f t="shared" si="397"/>
        <v>0</v>
      </c>
      <c r="AG132" s="190">
        <f t="shared" si="398"/>
        <v>0</v>
      </c>
      <c r="AH132" s="206">
        <f t="shared" si="409"/>
        <v>0</v>
      </c>
      <c r="AI132" s="6">
        <f>'Ενεργές συνδέσεις'!AI132</f>
        <v>0</v>
      </c>
      <c r="AJ132" s="6">
        <f>'Ενεργές συνδέσεις'!AJ132</f>
        <v>0</v>
      </c>
      <c r="AK132" s="167">
        <f t="shared" si="399"/>
        <v>0</v>
      </c>
      <c r="AL132" s="190">
        <f t="shared" si="400"/>
        <v>0</v>
      </c>
      <c r="AM132" s="206">
        <f t="shared" si="410"/>
        <v>0</v>
      </c>
      <c r="AN132" s="6">
        <f>'Ενεργές συνδέσεις'!AN132</f>
        <v>0</v>
      </c>
      <c r="AO132" s="6">
        <f>'Ενεργές συνδέσεις'!AO132</f>
        <v>0</v>
      </c>
      <c r="AP132" s="167">
        <f t="shared" si="401"/>
        <v>0</v>
      </c>
      <c r="AQ132" s="190">
        <f t="shared" si="402"/>
        <v>0</v>
      </c>
      <c r="AR132" s="206">
        <f t="shared" si="411"/>
        <v>0</v>
      </c>
      <c r="AS132" s="6">
        <f>'Ενεργές συνδέσεις'!AS132</f>
        <v>0</v>
      </c>
      <c r="AT132" s="6">
        <f>'Ενεργές συνδέσεις'!AT132</f>
        <v>0</v>
      </c>
      <c r="AU132" s="167">
        <f t="shared" si="403"/>
        <v>0</v>
      </c>
      <c r="AV132" s="190">
        <f t="shared" si="404"/>
        <v>0</v>
      </c>
      <c r="AW132" s="198">
        <f t="shared" si="405"/>
        <v>0</v>
      </c>
      <c r="AX132" s="199">
        <f t="shared" si="406"/>
        <v>0</v>
      </c>
    </row>
    <row r="133" spans="1:50" outlineLevel="1" x14ac:dyDescent="0.25">
      <c r="B133" s="52" t="s">
        <v>286</v>
      </c>
      <c r="C133" s="64" t="s">
        <v>22</v>
      </c>
      <c r="D133" s="71"/>
      <c r="E133" s="72"/>
      <c r="F133" s="71"/>
      <c r="G133" s="167">
        <f t="shared" si="385"/>
        <v>0</v>
      </c>
      <c r="H133" s="203">
        <f t="shared" si="386"/>
        <v>0</v>
      </c>
      <c r="I133" s="71"/>
      <c r="J133" s="167">
        <f t="shared" si="387"/>
        <v>0</v>
      </c>
      <c r="K133" s="203">
        <f t="shared" si="388"/>
        <v>0</v>
      </c>
      <c r="L133" s="71"/>
      <c r="M133" s="167">
        <f t="shared" si="389"/>
        <v>0</v>
      </c>
      <c r="N133" s="203">
        <f t="shared" si="390"/>
        <v>0</v>
      </c>
      <c r="O133" s="71"/>
      <c r="P133" s="33"/>
      <c r="Q133" s="157"/>
      <c r="R133" s="71"/>
      <c r="S133" s="167">
        <f t="shared" si="391"/>
        <v>0</v>
      </c>
      <c r="T133" s="203">
        <f t="shared" si="392"/>
        <v>0</v>
      </c>
      <c r="U133" s="198">
        <f t="shared" si="393"/>
        <v>0</v>
      </c>
      <c r="V133" s="199">
        <f t="shared" si="394"/>
        <v>0</v>
      </c>
      <c r="X133" s="206">
        <f t="shared" si="407"/>
        <v>0</v>
      </c>
      <c r="Y133" s="6">
        <f>'Ενεργές συνδέσεις'!Y133</f>
        <v>0</v>
      </c>
      <c r="Z133" s="6">
        <f>'Ενεργές συνδέσεις'!Z133</f>
        <v>0</v>
      </c>
      <c r="AA133" s="167">
        <f t="shared" si="395"/>
        <v>0</v>
      </c>
      <c r="AB133" s="203">
        <f t="shared" si="396"/>
        <v>0</v>
      </c>
      <c r="AC133" s="206">
        <f t="shared" si="408"/>
        <v>2</v>
      </c>
      <c r="AD133" s="6">
        <f>'Ενεργές συνδέσεις'!AD133</f>
        <v>2</v>
      </c>
      <c r="AE133" s="6">
        <f>'Ενεργές συνδέσεις'!AE133</f>
        <v>0</v>
      </c>
      <c r="AF133" s="167">
        <f t="shared" si="397"/>
        <v>2</v>
      </c>
      <c r="AG133" s="190">
        <f t="shared" si="398"/>
        <v>0</v>
      </c>
      <c r="AH133" s="206">
        <f t="shared" si="409"/>
        <v>2</v>
      </c>
      <c r="AI133" s="6">
        <f>'Ενεργές συνδέσεις'!AI133</f>
        <v>2</v>
      </c>
      <c r="AJ133" s="6">
        <f>'Ενεργές συνδέσεις'!AJ133</f>
        <v>0</v>
      </c>
      <c r="AK133" s="167">
        <f t="shared" si="399"/>
        <v>4</v>
      </c>
      <c r="AL133" s="190">
        <f t="shared" si="400"/>
        <v>1</v>
      </c>
      <c r="AM133" s="206">
        <f t="shared" si="410"/>
        <v>3</v>
      </c>
      <c r="AN133" s="6">
        <f>'Ενεργές συνδέσεις'!AN133</f>
        <v>3</v>
      </c>
      <c r="AO133" s="6">
        <f>'Ενεργές συνδέσεις'!AO133</f>
        <v>0</v>
      </c>
      <c r="AP133" s="167">
        <f t="shared" si="401"/>
        <v>7</v>
      </c>
      <c r="AQ133" s="190">
        <f t="shared" si="402"/>
        <v>0.75</v>
      </c>
      <c r="AR133" s="206">
        <f t="shared" si="411"/>
        <v>1</v>
      </c>
      <c r="AS133" s="6">
        <f>'Ενεργές συνδέσεις'!AS133</f>
        <v>1</v>
      </c>
      <c r="AT133" s="6">
        <f>'Ενεργές συνδέσεις'!AT133</f>
        <v>0</v>
      </c>
      <c r="AU133" s="167">
        <f t="shared" si="403"/>
        <v>8</v>
      </c>
      <c r="AV133" s="190">
        <f t="shared" si="404"/>
        <v>0.14285714285714285</v>
      </c>
      <c r="AW133" s="198">
        <f t="shared" si="405"/>
        <v>8</v>
      </c>
      <c r="AX133" s="199">
        <f t="shared" si="406"/>
        <v>0</v>
      </c>
    </row>
    <row r="134" spans="1:50" s="55" customFormat="1" outlineLevel="1" x14ac:dyDescent="0.25">
      <c r="A134"/>
      <c r="B134" s="52" t="s">
        <v>287</v>
      </c>
      <c r="C134" s="64" t="s">
        <v>22</v>
      </c>
      <c r="D134" s="73"/>
      <c r="E134" s="74"/>
      <c r="F134" s="73"/>
      <c r="G134" s="167">
        <f t="shared" si="385"/>
        <v>0</v>
      </c>
      <c r="H134" s="203">
        <f t="shared" si="386"/>
        <v>0</v>
      </c>
      <c r="I134" s="73"/>
      <c r="J134" s="167">
        <f t="shared" si="387"/>
        <v>0</v>
      </c>
      <c r="K134" s="203">
        <f t="shared" si="388"/>
        <v>0</v>
      </c>
      <c r="L134" s="73"/>
      <c r="M134" s="167">
        <f t="shared" si="389"/>
        <v>0</v>
      </c>
      <c r="N134" s="203">
        <f t="shared" si="390"/>
        <v>0</v>
      </c>
      <c r="O134" s="73"/>
      <c r="P134" s="151"/>
      <c r="Q134" s="154"/>
      <c r="R134" s="73"/>
      <c r="S134" s="167">
        <f t="shared" si="391"/>
        <v>0</v>
      </c>
      <c r="T134" s="203">
        <f t="shared" si="392"/>
        <v>0</v>
      </c>
      <c r="U134" s="198">
        <f t="shared" si="393"/>
        <v>0</v>
      </c>
      <c r="V134" s="199">
        <f t="shared" si="394"/>
        <v>0</v>
      </c>
      <c r="W134"/>
      <c r="X134" s="206">
        <f t="shared" si="407"/>
        <v>0</v>
      </c>
      <c r="Y134" s="6">
        <f>'Ενεργές συνδέσεις'!Y134</f>
        <v>0</v>
      </c>
      <c r="Z134" s="6">
        <f>'Ενεργές συνδέσεις'!Z134</f>
        <v>0</v>
      </c>
      <c r="AA134" s="167">
        <f t="shared" si="395"/>
        <v>0</v>
      </c>
      <c r="AB134" s="203">
        <f t="shared" si="396"/>
        <v>0</v>
      </c>
      <c r="AC134" s="206">
        <f t="shared" si="408"/>
        <v>4</v>
      </c>
      <c r="AD134" s="6">
        <f>'Ενεργές συνδέσεις'!AD134</f>
        <v>4</v>
      </c>
      <c r="AE134" s="6">
        <f>'Ενεργές συνδέσεις'!AE134</f>
        <v>0</v>
      </c>
      <c r="AF134" s="167">
        <f t="shared" si="397"/>
        <v>4</v>
      </c>
      <c r="AG134" s="190">
        <f t="shared" si="398"/>
        <v>0</v>
      </c>
      <c r="AH134" s="206">
        <f t="shared" si="409"/>
        <v>2</v>
      </c>
      <c r="AI134" s="6">
        <f>'Ενεργές συνδέσεις'!AI134</f>
        <v>2</v>
      </c>
      <c r="AJ134" s="6">
        <f>'Ενεργές συνδέσεις'!AJ134</f>
        <v>0</v>
      </c>
      <c r="AK134" s="167">
        <f t="shared" si="399"/>
        <v>6</v>
      </c>
      <c r="AL134" s="190">
        <f t="shared" si="400"/>
        <v>0.5</v>
      </c>
      <c r="AM134" s="206">
        <f t="shared" si="410"/>
        <v>1</v>
      </c>
      <c r="AN134" s="6">
        <f>'Ενεργές συνδέσεις'!AN134</f>
        <v>1</v>
      </c>
      <c r="AO134" s="6">
        <f>'Ενεργές συνδέσεις'!AO134</f>
        <v>0</v>
      </c>
      <c r="AP134" s="167">
        <f t="shared" si="401"/>
        <v>7</v>
      </c>
      <c r="AQ134" s="190">
        <f t="shared" si="402"/>
        <v>0.16666666666666666</v>
      </c>
      <c r="AR134" s="206">
        <f t="shared" si="411"/>
        <v>1</v>
      </c>
      <c r="AS134" s="6">
        <f>'Ενεργές συνδέσεις'!AS134</f>
        <v>1</v>
      </c>
      <c r="AT134" s="6">
        <f>'Ενεργές συνδέσεις'!AT134</f>
        <v>0</v>
      </c>
      <c r="AU134" s="167">
        <f t="shared" si="403"/>
        <v>8</v>
      </c>
      <c r="AV134" s="190">
        <f t="shared" si="404"/>
        <v>0.14285714285714285</v>
      </c>
      <c r="AW134" s="198">
        <f t="shared" si="405"/>
        <v>8</v>
      </c>
      <c r="AX134" s="199">
        <f t="shared" si="406"/>
        <v>0</v>
      </c>
    </row>
    <row r="135" spans="1:50" outlineLevel="1" x14ac:dyDescent="0.25">
      <c r="B135" s="52" t="s">
        <v>288</v>
      </c>
      <c r="C135" s="64" t="s">
        <v>22</v>
      </c>
      <c r="D135" s="71"/>
      <c r="E135" s="72"/>
      <c r="F135" s="71"/>
      <c r="G135" s="167">
        <f t="shared" si="385"/>
        <v>0</v>
      </c>
      <c r="H135" s="203">
        <f t="shared" si="386"/>
        <v>0</v>
      </c>
      <c r="I135" s="71"/>
      <c r="J135" s="167">
        <f t="shared" si="387"/>
        <v>0</v>
      </c>
      <c r="K135" s="203">
        <f t="shared" si="388"/>
        <v>0</v>
      </c>
      <c r="L135" s="71"/>
      <c r="M135" s="167">
        <f t="shared" si="389"/>
        <v>0</v>
      </c>
      <c r="N135" s="203">
        <f t="shared" si="390"/>
        <v>0</v>
      </c>
      <c r="O135" s="71"/>
      <c r="P135" s="33"/>
      <c r="Q135" s="157"/>
      <c r="R135" s="71"/>
      <c r="S135" s="167">
        <f t="shared" si="391"/>
        <v>0</v>
      </c>
      <c r="T135" s="203">
        <f t="shared" si="392"/>
        <v>0</v>
      </c>
      <c r="U135" s="198">
        <f t="shared" si="393"/>
        <v>0</v>
      </c>
      <c r="V135" s="199">
        <f t="shared" si="394"/>
        <v>0</v>
      </c>
      <c r="X135" s="206">
        <f t="shared" si="407"/>
        <v>1</v>
      </c>
      <c r="Y135" s="6">
        <f>'Ενεργές συνδέσεις'!Y135</f>
        <v>1</v>
      </c>
      <c r="Z135" s="6">
        <f>'Ενεργές συνδέσεις'!Z135</f>
        <v>0</v>
      </c>
      <c r="AA135" s="167">
        <f t="shared" si="395"/>
        <v>1</v>
      </c>
      <c r="AB135" s="203">
        <f t="shared" si="396"/>
        <v>0</v>
      </c>
      <c r="AC135" s="206">
        <f t="shared" si="408"/>
        <v>2</v>
      </c>
      <c r="AD135" s="6">
        <f>'Ενεργές συνδέσεις'!AD135</f>
        <v>2</v>
      </c>
      <c r="AE135" s="6">
        <f>'Ενεργές συνδέσεις'!AE135</f>
        <v>0</v>
      </c>
      <c r="AF135" s="167">
        <f t="shared" si="397"/>
        <v>3</v>
      </c>
      <c r="AG135" s="190">
        <f t="shared" si="398"/>
        <v>2</v>
      </c>
      <c r="AH135" s="206">
        <f t="shared" si="409"/>
        <v>2</v>
      </c>
      <c r="AI135" s="6">
        <f>'Ενεργές συνδέσεις'!AI135</f>
        <v>2</v>
      </c>
      <c r="AJ135" s="6">
        <f>'Ενεργές συνδέσεις'!AJ135</f>
        <v>0</v>
      </c>
      <c r="AK135" s="167">
        <f t="shared" si="399"/>
        <v>5</v>
      </c>
      <c r="AL135" s="190">
        <f t="shared" si="400"/>
        <v>0.66666666666666663</v>
      </c>
      <c r="AM135" s="206">
        <f t="shared" si="410"/>
        <v>1</v>
      </c>
      <c r="AN135" s="6">
        <f>'Ενεργές συνδέσεις'!AN135</f>
        <v>1</v>
      </c>
      <c r="AO135" s="6">
        <f>'Ενεργές συνδέσεις'!AO135</f>
        <v>0</v>
      </c>
      <c r="AP135" s="167">
        <f t="shared" si="401"/>
        <v>6</v>
      </c>
      <c r="AQ135" s="190">
        <f t="shared" si="402"/>
        <v>0.2</v>
      </c>
      <c r="AR135" s="206">
        <f t="shared" si="411"/>
        <v>0</v>
      </c>
      <c r="AS135" s="6">
        <f>'Ενεργές συνδέσεις'!AS135</f>
        <v>0</v>
      </c>
      <c r="AT135" s="6">
        <f>'Ενεργές συνδέσεις'!AT135</f>
        <v>0</v>
      </c>
      <c r="AU135" s="167">
        <f t="shared" si="403"/>
        <v>6</v>
      </c>
      <c r="AV135" s="190">
        <f t="shared" si="404"/>
        <v>0</v>
      </c>
      <c r="AW135" s="198">
        <f t="shared" si="405"/>
        <v>6</v>
      </c>
      <c r="AX135" s="199">
        <f t="shared" si="406"/>
        <v>0.56508458007328732</v>
      </c>
    </row>
    <row r="136" spans="1:50" ht="16.5" customHeight="1" outlineLevel="1" x14ac:dyDescent="0.25">
      <c r="B136" s="52" t="s">
        <v>289</v>
      </c>
      <c r="C136" s="64" t="s">
        <v>22</v>
      </c>
      <c r="D136" s="71"/>
      <c r="E136" s="72"/>
      <c r="F136" s="71"/>
      <c r="G136" s="167">
        <f t="shared" si="385"/>
        <v>0</v>
      </c>
      <c r="H136" s="203">
        <f t="shared" si="386"/>
        <v>0</v>
      </c>
      <c r="I136" s="71"/>
      <c r="J136" s="167">
        <f t="shared" si="387"/>
        <v>0</v>
      </c>
      <c r="K136" s="203">
        <f t="shared" si="388"/>
        <v>0</v>
      </c>
      <c r="L136" s="71"/>
      <c r="M136" s="167">
        <f t="shared" si="389"/>
        <v>0</v>
      </c>
      <c r="N136" s="203">
        <f t="shared" si="390"/>
        <v>0</v>
      </c>
      <c r="O136" s="71"/>
      <c r="P136" s="33"/>
      <c r="Q136" s="157"/>
      <c r="R136" s="71"/>
      <c r="S136" s="167">
        <f t="shared" si="391"/>
        <v>0</v>
      </c>
      <c r="T136" s="203">
        <f t="shared" si="392"/>
        <v>0</v>
      </c>
      <c r="U136" s="198">
        <f t="shared" si="393"/>
        <v>0</v>
      </c>
      <c r="V136" s="199">
        <f t="shared" si="394"/>
        <v>0</v>
      </c>
      <c r="X136" s="206">
        <f t="shared" si="407"/>
        <v>1</v>
      </c>
      <c r="Y136" s="6">
        <f>'Ενεργές συνδέσεις'!Y136</f>
        <v>1</v>
      </c>
      <c r="Z136" s="6">
        <f>'Ενεργές συνδέσεις'!Z136</f>
        <v>0</v>
      </c>
      <c r="AA136" s="167">
        <f t="shared" si="395"/>
        <v>1</v>
      </c>
      <c r="AB136" s="203">
        <f t="shared" si="396"/>
        <v>0</v>
      </c>
      <c r="AC136" s="206">
        <f t="shared" si="408"/>
        <v>2</v>
      </c>
      <c r="AD136" s="6">
        <f>'Ενεργές συνδέσεις'!AD136</f>
        <v>2</v>
      </c>
      <c r="AE136" s="6">
        <f>'Ενεργές συνδέσεις'!AE136</f>
        <v>0</v>
      </c>
      <c r="AF136" s="167">
        <f t="shared" si="397"/>
        <v>3</v>
      </c>
      <c r="AG136" s="190">
        <f t="shared" si="398"/>
        <v>2</v>
      </c>
      <c r="AH136" s="206">
        <f t="shared" si="409"/>
        <v>2</v>
      </c>
      <c r="AI136" s="6">
        <f>'Ενεργές συνδέσεις'!AI136</f>
        <v>2</v>
      </c>
      <c r="AJ136" s="6">
        <f>'Ενεργές συνδέσεις'!AJ136</f>
        <v>0</v>
      </c>
      <c r="AK136" s="167">
        <f t="shared" si="399"/>
        <v>5</v>
      </c>
      <c r="AL136" s="190">
        <f t="shared" si="400"/>
        <v>0.66666666666666663</v>
      </c>
      <c r="AM136" s="206">
        <f t="shared" si="410"/>
        <v>1</v>
      </c>
      <c r="AN136" s="6">
        <f>'Ενεργές συνδέσεις'!AN136</f>
        <v>1</v>
      </c>
      <c r="AO136" s="6">
        <f>'Ενεργές συνδέσεις'!AO136</f>
        <v>0</v>
      </c>
      <c r="AP136" s="167">
        <f t="shared" si="401"/>
        <v>6</v>
      </c>
      <c r="AQ136" s="190">
        <f t="shared" si="402"/>
        <v>0.2</v>
      </c>
      <c r="AR136" s="206">
        <f t="shared" si="411"/>
        <v>1</v>
      </c>
      <c r="AS136" s="6">
        <f>'Ενεργές συνδέσεις'!AS136</f>
        <v>1</v>
      </c>
      <c r="AT136" s="6">
        <f>'Ενεργές συνδέσεις'!AT136</f>
        <v>0</v>
      </c>
      <c r="AU136" s="167">
        <f t="shared" si="403"/>
        <v>7</v>
      </c>
      <c r="AV136" s="190">
        <f t="shared" si="404"/>
        <v>0.16666666666666666</v>
      </c>
      <c r="AW136" s="198">
        <f t="shared" si="405"/>
        <v>7</v>
      </c>
      <c r="AX136" s="199">
        <f t="shared" si="406"/>
        <v>0.62657656169778564</v>
      </c>
    </row>
    <row r="137" spans="1:50" ht="16.5" customHeight="1" outlineLevel="1" x14ac:dyDescent="0.25">
      <c r="B137" s="52" t="s">
        <v>290</v>
      </c>
      <c r="C137" s="64" t="s">
        <v>22</v>
      </c>
      <c r="D137" s="71"/>
      <c r="E137" s="72"/>
      <c r="F137" s="71"/>
      <c r="G137" s="167">
        <f t="shared" si="385"/>
        <v>0</v>
      </c>
      <c r="H137" s="203">
        <f t="shared" si="386"/>
        <v>0</v>
      </c>
      <c r="I137" s="71"/>
      <c r="J137" s="167">
        <f t="shared" si="387"/>
        <v>0</v>
      </c>
      <c r="K137" s="203">
        <f t="shared" si="388"/>
        <v>0</v>
      </c>
      <c r="L137" s="71"/>
      <c r="M137" s="167">
        <f t="shared" si="389"/>
        <v>0</v>
      </c>
      <c r="N137" s="203">
        <f t="shared" si="390"/>
        <v>0</v>
      </c>
      <c r="O137" s="71"/>
      <c r="P137" s="33"/>
      <c r="Q137" s="157"/>
      <c r="R137" s="71"/>
      <c r="S137" s="167">
        <f t="shared" si="391"/>
        <v>0</v>
      </c>
      <c r="T137" s="203">
        <f t="shared" si="392"/>
        <v>0</v>
      </c>
      <c r="U137" s="198">
        <f t="shared" si="393"/>
        <v>0</v>
      </c>
      <c r="V137" s="199">
        <f t="shared" si="394"/>
        <v>0</v>
      </c>
      <c r="X137" s="206">
        <f t="shared" si="407"/>
        <v>0</v>
      </c>
      <c r="Y137" s="6">
        <f>'Ενεργές συνδέσεις'!Y137</f>
        <v>0</v>
      </c>
      <c r="Z137" s="6">
        <f>'Ενεργές συνδέσεις'!Z137</f>
        <v>0</v>
      </c>
      <c r="AA137" s="167">
        <f t="shared" si="395"/>
        <v>0</v>
      </c>
      <c r="AB137" s="203">
        <f t="shared" si="396"/>
        <v>0</v>
      </c>
      <c r="AC137" s="206">
        <f t="shared" si="408"/>
        <v>3</v>
      </c>
      <c r="AD137" s="6">
        <f>'Ενεργές συνδέσεις'!AD137</f>
        <v>3</v>
      </c>
      <c r="AE137" s="6">
        <f>'Ενεργές συνδέσεις'!AE137</f>
        <v>0</v>
      </c>
      <c r="AF137" s="167">
        <f t="shared" si="397"/>
        <v>3</v>
      </c>
      <c r="AG137" s="190">
        <f t="shared" si="398"/>
        <v>0</v>
      </c>
      <c r="AH137" s="206">
        <f t="shared" si="409"/>
        <v>3</v>
      </c>
      <c r="AI137" s="6">
        <f>'Ενεργές συνδέσεις'!AI137</f>
        <v>3</v>
      </c>
      <c r="AJ137" s="6">
        <f>'Ενεργές συνδέσεις'!AJ137</f>
        <v>0</v>
      </c>
      <c r="AK137" s="167">
        <f t="shared" si="399"/>
        <v>6</v>
      </c>
      <c r="AL137" s="190">
        <f t="shared" si="400"/>
        <v>1</v>
      </c>
      <c r="AM137" s="206">
        <f t="shared" si="410"/>
        <v>3</v>
      </c>
      <c r="AN137" s="6">
        <f>'Ενεργές συνδέσεις'!AN137</f>
        <v>3</v>
      </c>
      <c r="AO137" s="6">
        <f>'Ενεργές συνδέσεις'!AO137</f>
        <v>0</v>
      </c>
      <c r="AP137" s="167">
        <f t="shared" si="401"/>
        <v>9</v>
      </c>
      <c r="AQ137" s="190">
        <f t="shared" si="402"/>
        <v>0.5</v>
      </c>
      <c r="AR137" s="206">
        <f t="shared" si="411"/>
        <v>1</v>
      </c>
      <c r="AS137" s="6">
        <f>'Ενεργές συνδέσεις'!AS137</f>
        <v>1</v>
      </c>
      <c r="AT137" s="6">
        <f>'Ενεργές συνδέσεις'!AT137</f>
        <v>0</v>
      </c>
      <c r="AU137" s="167">
        <f t="shared" si="403"/>
        <v>10</v>
      </c>
      <c r="AV137" s="190">
        <f t="shared" si="404"/>
        <v>0.1111111111111111</v>
      </c>
      <c r="AW137" s="198">
        <f t="shared" si="405"/>
        <v>10</v>
      </c>
      <c r="AX137" s="199">
        <f t="shared" si="406"/>
        <v>0</v>
      </c>
    </row>
    <row r="138" spans="1:50" ht="16.5" customHeight="1" outlineLevel="1" x14ac:dyDescent="0.25">
      <c r="B138" s="52" t="s">
        <v>291</v>
      </c>
      <c r="C138" s="64" t="s">
        <v>22</v>
      </c>
      <c r="D138" s="71"/>
      <c r="E138" s="72"/>
      <c r="F138" s="71"/>
      <c r="G138" s="167">
        <f t="shared" si="385"/>
        <v>0</v>
      </c>
      <c r="H138" s="203">
        <f t="shared" si="386"/>
        <v>0</v>
      </c>
      <c r="I138" s="71"/>
      <c r="J138" s="167">
        <f t="shared" si="387"/>
        <v>0</v>
      </c>
      <c r="K138" s="203">
        <f t="shared" si="388"/>
        <v>0</v>
      </c>
      <c r="L138" s="71"/>
      <c r="M138" s="167">
        <f t="shared" si="389"/>
        <v>0</v>
      </c>
      <c r="N138" s="203">
        <f t="shared" si="390"/>
        <v>0</v>
      </c>
      <c r="O138" s="71"/>
      <c r="P138" s="33"/>
      <c r="Q138" s="157"/>
      <c r="R138" s="71"/>
      <c r="S138" s="167">
        <f t="shared" si="391"/>
        <v>0</v>
      </c>
      <c r="T138" s="203">
        <f t="shared" si="392"/>
        <v>0</v>
      </c>
      <c r="U138" s="198">
        <f t="shared" si="393"/>
        <v>0</v>
      </c>
      <c r="V138" s="199">
        <f t="shared" si="394"/>
        <v>0</v>
      </c>
      <c r="X138" s="206">
        <f t="shared" si="407"/>
        <v>0</v>
      </c>
      <c r="Y138" s="6">
        <f>'Ενεργές συνδέσεις'!Y138</f>
        <v>0</v>
      </c>
      <c r="Z138" s="6">
        <f>'Ενεργές συνδέσεις'!Z138</f>
        <v>0</v>
      </c>
      <c r="AA138" s="167">
        <f t="shared" si="395"/>
        <v>0</v>
      </c>
      <c r="AB138" s="203">
        <f t="shared" si="396"/>
        <v>0</v>
      </c>
      <c r="AC138" s="206">
        <f t="shared" si="408"/>
        <v>0</v>
      </c>
      <c r="AD138" s="6">
        <f>'Ενεργές συνδέσεις'!AD138</f>
        <v>0</v>
      </c>
      <c r="AE138" s="6">
        <f>'Ενεργές συνδέσεις'!AE138</f>
        <v>0</v>
      </c>
      <c r="AF138" s="167">
        <f t="shared" si="397"/>
        <v>0</v>
      </c>
      <c r="AG138" s="190">
        <f t="shared" si="398"/>
        <v>0</v>
      </c>
      <c r="AH138" s="206">
        <f t="shared" si="409"/>
        <v>0</v>
      </c>
      <c r="AI138" s="6">
        <f>'Ενεργές συνδέσεις'!AI138</f>
        <v>0</v>
      </c>
      <c r="AJ138" s="6">
        <f>'Ενεργές συνδέσεις'!AJ138</f>
        <v>0</v>
      </c>
      <c r="AK138" s="167">
        <f t="shared" si="399"/>
        <v>0</v>
      </c>
      <c r="AL138" s="190">
        <f t="shared" si="400"/>
        <v>0</v>
      </c>
      <c r="AM138" s="206">
        <f t="shared" si="410"/>
        <v>0</v>
      </c>
      <c r="AN138" s="6">
        <f>'Ενεργές συνδέσεις'!AN138</f>
        <v>0</v>
      </c>
      <c r="AO138" s="6">
        <f>'Ενεργές συνδέσεις'!AO138</f>
        <v>0</v>
      </c>
      <c r="AP138" s="167">
        <f t="shared" si="401"/>
        <v>0</v>
      </c>
      <c r="AQ138" s="190">
        <f t="shared" si="402"/>
        <v>0</v>
      </c>
      <c r="AR138" s="206">
        <f t="shared" si="411"/>
        <v>0</v>
      </c>
      <c r="AS138" s="6">
        <f>'Ενεργές συνδέσεις'!AS138</f>
        <v>0</v>
      </c>
      <c r="AT138" s="6">
        <f>'Ενεργές συνδέσεις'!AT138</f>
        <v>0</v>
      </c>
      <c r="AU138" s="167">
        <f t="shared" si="403"/>
        <v>0</v>
      </c>
      <c r="AV138" s="190">
        <f t="shared" si="404"/>
        <v>0</v>
      </c>
      <c r="AW138" s="198">
        <f t="shared" si="405"/>
        <v>0</v>
      </c>
      <c r="AX138" s="199">
        <f t="shared" si="406"/>
        <v>0</v>
      </c>
    </row>
    <row r="139" spans="1:50" ht="16.5" customHeight="1" outlineLevel="1" x14ac:dyDescent="0.25">
      <c r="B139" s="52" t="s">
        <v>307</v>
      </c>
      <c r="C139" s="64"/>
      <c r="D139" s="71"/>
      <c r="E139" s="72"/>
      <c r="F139" s="71"/>
      <c r="G139" s="167"/>
      <c r="H139" s="203">
        <f t="shared" si="386"/>
        <v>0</v>
      </c>
      <c r="I139" s="71"/>
      <c r="J139" s="167"/>
      <c r="K139" s="203">
        <f t="shared" si="388"/>
        <v>0</v>
      </c>
      <c r="L139" s="71"/>
      <c r="M139" s="167"/>
      <c r="N139" s="203">
        <f t="shared" si="390"/>
        <v>0</v>
      </c>
      <c r="O139" s="71"/>
      <c r="P139" s="33"/>
      <c r="Q139" s="157"/>
      <c r="R139" s="71"/>
      <c r="S139" s="167"/>
      <c r="T139" s="203">
        <f t="shared" si="392"/>
        <v>0</v>
      </c>
      <c r="U139" s="198">
        <f t="shared" si="393"/>
        <v>0</v>
      </c>
      <c r="V139" s="199">
        <f t="shared" si="394"/>
        <v>0</v>
      </c>
      <c r="X139" s="206">
        <f t="shared" ref="X139:X143" si="412">Y139+Z139</f>
        <v>0</v>
      </c>
      <c r="Y139" s="6">
        <f>'Ενεργές συνδέσεις'!Y139</f>
        <v>0</v>
      </c>
      <c r="Z139" s="6">
        <f>'Ενεργές συνδέσεις'!Z139</f>
        <v>0</v>
      </c>
      <c r="AA139" s="167">
        <f t="shared" ref="AA139:AA143" si="413">S139+X139</f>
        <v>0</v>
      </c>
      <c r="AB139" s="203">
        <f t="shared" ref="AB139:AB143" si="414">IFERROR((AA139-S139)/S139,0)</f>
        <v>0</v>
      </c>
      <c r="AC139" s="206">
        <f t="shared" ref="AC139:AC143" si="415">AD139+AE139</f>
        <v>0</v>
      </c>
      <c r="AD139" s="6">
        <f>'Ενεργές συνδέσεις'!AD139</f>
        <v>0</v>
      </c>
      <c r="AE139" s="6">
        <f>'Ενεργές συνδέσεις'!AE139</f>
        <v>0</v>
      </c>
      <c r="AF139" s="167">
        <f t="shared" ref="AF139:AF143" si="416">AA139+AC139</f>
        <v>0</v>
      </c>
      <c r="AG139" s="190">
        <f t="shared" ref="AG139:AG143" si="417">IFERROR((AF139-AA139)/AA139,0)</f>
        <v>0</v>
      </c>
      <c r="AH139" s="206">
        <f t="shared" ref="AH139:AH143" si="418">AI139+AJ139</f>
        <v>0</v>
      </c>
      <c r="AI139" s="6">
        <f>'Ενεργές συνδέσεις'!AI139</f>
        <v>0</v>
      </c>
      <c r="AJ139" s="6">
        <f>'Ενεργές συνδέσεις'!AJ139</f>
        <v>0</v>
      </c>
      <c r="AK139" s="167">
        <f t="shared" ref="AK139:AK143" si="419">AF139+AH139</f>
        <v>0</v>
      </c>
      <c r="AL139" s="190">
        <f t="shared" ref="AL139:AL143" si="420">IFERROR((AK139-AF139)/AF139,0)</f>
        <v>0</v>
      </c>
      <c r="AM139" s="206">
        <f t="shared" ref="AM139:AM143" si="421">AN139+AO139</f>
        <v>0</v>
      </c>
      <c r="AN139" s="6">
        <f>'Ενεργές συνδέσεις'!AN139</f>
        <v>0</v>
      </c>
      <c r="AO139" s="6">
        <f>'Ενεργές συνδέσεις'!AO139</f>
        <v>0</v>
      </c>
      <c r="AP139" s="167">
        <f t="shared" ref="AP139:AP143" si="422">AK139+AM139</f>
        <v>0</v>
      </c>
      <c r="AQ139" s="190">
        <f t="shared" ref="AQ139:AQ143" si="423">IFERROR((AP139-AK139)/AK139,0)</f>
        <v>0</v>
      </c>
      <c r="AR139" s="206">
        <f t="shared" ref="AR139:AR143" si="424">AS139+AT139</f>
        <v>0</v>
      </c>
      <c r="AS139" s="6">
        <f>'Ενεργές συνδέσεις'!AS139</f>
        <v>0</v>
      </c>
      <c r="AT139" s="6">
        <f>'Ενεργές συνδέσεις'!AT139</f>
        <v>0</v>
      </c>
      <c r="AU139" s="167">
        <f t="shared" ref="AU139:AU143" si="425">AP139+AR139</f>
        <v>0</v>
      </c>
      <c r="AV139" s="190">
        <f t="shared" ref="AV139:AV143" si="426">IFERROR((AU139-AP139)/AP139,0)</f>
        <v>0</v>
      </c>
      <c r="AW139" s="198">
        <f t="shared" ref="AW139:AW143" si="427">X139+AC139+AH139+AM139+AR139</f>
        <v>0</v>
      </c>
      <c r="AX139" s="199">
        <f t="shared" si="406"/>
        <v>0</v>
      </c>
    </row>
    <row r="140" spans="1:50" ht="16.5" customHeight="1" outlineLevel="1" x14ac:dyDescent="0.25">
      <c r="B140" s="52" t="s">
        <v>304</v>
      </c>
      <c r="C140" s="64"/>
      <c r="D140" s="71"/>
      <c r="E140" s="72"/>
      <c r="F140" s="71"/>
      <c r="G140" s="167"/>
      <c r="H140" s="203">
        <f t="shared" si="386"/>
        <v>0</v>
      </c>
      <c r="I140" s="71"/>
      <c r="J140" s="167"/>
      <c r="K140" s="203">
        <f t="shared" si="388"/>
        <v>0</v>
      </c>
      <c r="L140" s="71"/>
      <c r="M140" s="167"/>
      <c r="N140" s="203">
        <f t="shared" si="390"/>
        <v>0</v>
      </c>
      <c r="O140" s="71"/>
      <c r="P140" s="33"/>
      <c r="Q140" s="157"/>
      <c r="R140" s="71"/>
      <c r="S140" s="167"/>
      <c r="T140" s="203">
        <f t="shared" si="392"/>
        <v>0</v>
      </c>
      <c r="U140" s="198">
        <f t="shared" si="393"/>
        <v>0</v>
      </c>
      <c r="V140" s="199">
        <f t="shared" si="394"/>
        <v>0</v>
      </c>
      <c r="X140" s="206">
        <f t="shared" si="412"/>
        <v>0</v>
      </c>
      <c r="Y140" s="6">
        <f>'Ενεργές συνδέσεις'!Y140</f>
        <v>0</v>
      </c>
      <c r="Z140" s="6">
        <f>'Ενεργές συνδέσεις'!Z140</f>
        <v>0</v>
      </c>
      <c r="AA140" s="167">
        <f t="shared" si="413"/>
        <v>0</v>
      </c>
      <c r="AB140" s="203">
        <f t="shared" si="414"/>
        <v>0</v>
      </c>
      <c r="AC140" s="206">
        <f t="shared" si="415"/>
        <v>0</v>
      </c>
      <c r="AD140" s="6">
        <f>'Ενεργές συνδέσεις'!AD140</f>
        <v>0</v>
      </c>
      <c r="AE140" s="6">
        <f>'Ενεργές συνδέσεις'!AE140</f>
        <v>0</v>
      </c>
      <c r="AF140" s="167">
        <f t="shared" si="416"/>
        <v>0</v>
      </c>
      <c r="AG140" s="190">
        <f t="shared" si="417"/>
        <v>0</v>
      </c>
      <c r="AH140" s="206">
        <f t="shared" si="418"/>
        <v>0</v>
      </c>
      <c r="AI140" s="6">
        <f>'Ενεργές συνδέσεις'!AI140</f>
        <v>0</v>
      </c>
      <c r="AJ140" s="6">
        <f>'Ενεργές συνδέσεις'!AJ140</f>
        <v>0</v>
      </c>
      <c r="AK140" s="167">
        <f t="shared" si="419"/>
        <v>0</v>
      </c>
      <c r="AL140" s="190">
        <f t="shared" si="420"/>
        <v>0</v>
      </c>
      <c r="AM140" s="206">
        <f t="shared" si="421"/>
        <v>0</v>
      </c>
      <c r="AN140" s="6">
        <f>'Ενεργές συνδέσεις'!AN140</f>
        <v>0</v>
      </c>
      <c r="AO140" s="6">
        <f>'Ενεργές συνδέσεις'!AO140</f>
        <v>0</v>
      </c>
      <c r="AP140" s="167">
        <f t="shared" si="422"/>
        <v>0</v>
      </c>
      <c r="AQ140" s="190">
        <f t="shared" si="423"/>
        <v>0</v>
      </c>
      <c r="AR140" s="206">
        <f t="shared" si="424"/>
        <v>0</v>
      </c>
      <c r="AS140" s="6">
        <f>'Ενεργές συνδέσεις'!AS140</f>
        <v>0</v>
      </c>
      <c r="AT140" s="6">
        <f>'Ενεργές συνδέσεις'!AT140</f>
        <v>0</v>
      </c>
      <c r="AU140" s="167">
        <f t="shared" si="425"/>
        <v>0</v>
      </c>
      <c r="AV140" s="190">
        <f t="shared" si="426"/>
        <v>0</v>
      </c>
      <c r="AW140" s="198">
        <f t="shared" si="427"/>
        <v>0</v>
      </c>
      <c r="AX140" s="199">
        <f t="shared" si="406"/>
        <v>0</v>
      </c>
    </row>
    <row r="141" spans="1:50" ht="16.5" customHeight="1" outlineLevel="1" x14ac:dyDescent="0.25">
      <c r="B141" s="52" t="s">
        <v>305</v>
      </c>
      <c r="C141" s="64"/>
      <c r="D141" s="71"/>
      <c r="E141" s="72"/>
      <c r="F141" s="71"/>
      <c r="G141" s="167"/>
      <c r="H141" s="203">
        <f t="shared" si="386"/>
        <v>0</v>
      </c>
      <c r="I141" s="71"/>
      <c r="J141" s="167"/>
      <c r="K141" s="203">
        <f t="shared" si="388"/>
        <v>0</v>
      </c>
      <c r="L141" s="71"/>
      <c r="M141" s="167"/>
      <c r="N141" s="203">
        <f t="shared" si="390"/>
        <v>0</v>
      </c>
      <c r="O141" s="71"/>
      <c r="P141" s="33"/>
      <c r="Q141" s="157"/>
      <c r="R141" s="71"/>
      <c r="S141" s="167"/>
      <c r="T141" s="203">
        <f t="shared" si="392"/>
        <v>0</v>
      </c>
      <c r="U141" s="198">
        <f t="shared" si="393"/>
        <v>0</v>
      </c>
      <c r="V141" s="199">
        <f t="shared" si="394"/>
        <v>0</v>
      </c>
      <c r="X141" s="206">
        <f t="shared" si="412"/>
        <v>0</v>
      </c>
      <c r="Y141" s="6">
        <f>'Ενεργές συνδέσεις'!Y141</f>
        <v>0</v>
      </c>
      <c r="Z141" s="6">
        <f>'Ενεργές συνδέσεις'!Z141</f>
        <v>0</v>
      </c>
      <c r="AA141" s="167">
        <f t="shared" si="413"/>
        <v>0</v>
      </c>
      <c r="AB141" s="203">
        <f t="shared" si="414"/>
        <v>0</v>
      </c>
      <c r="AC141" s="206">
        <f t="shared" si="415"/>
        <v>0</v>
      </c>
      <c r="AD141" s="6">
        <f>'Ενεργές συνδέσεις'!AD141</f>
        <v>0</v>
      </c>
      <c r="AE141" s="6">
        <f>'Ενεργές συνδέσεις'!AE141</f>
        <v>0</v>
      </c>
      <c r="AF141" s="167">
        <f t="shared" si="416"/>
        <v>0</v>
      </c>
      <c r="AG141" s="190">
        <f t="shared" si="417"/>
        <v>0</v>
      </c>
      <c r="AH141" s="206">
        <f t="shared" si="418"/>
        <v>0</v>
      </c>
      <c r="AI141" s="6">
        <f>'Ενεργές συνδέσεις'!AI141</f>
        <v>0</v>
      </c>
      <c r="AJ141" s="6">
        <f>'Ενεργές συνδέσεις'!AJ141</f>
        <v>0</v>
      </c>
      <c r="AK141" s="167">
        <f t="shared" si="419"/>
        <v>0</v>
      </c>
      <c r="AL141" s="190">
        <f t="shared" si="420"/>
        <v>0</v>
      </c>
      <c r="AM141" s="206">
        <f t="shared" si="421"/>
        <v>0</v>
      </c>
      <c r="AN141" s="6">
        <f>'Ενεργές συνδέσεις'!AN141</f>
        <v>0</v>
      </c>
      <c r="AO141" s="6">
        <f>'Ενεργές συνδέσεις'!AO141</f>
        <v>0</v>
      </c>
      <c r="AP141" s="167">
        <f t="shared" si="422"/>
        <v>0</v>
      </c>
      <c r="AQ141" s="190">
        <f t="shared" si="423"/>
        <v>0</v>
      </c>
      <c r="AR141" s="206">
        <f t="shared" si="424"/>
        <v>0</v>
      </c>
      <c r="AS141" s="6">
        <f>'Ενεργές συνδέσεις'!AS141</f>
        <v>0</v>
      </c>
      <c r="AT141" s="6">
        <f>'Ενεργές συνδέσεις'!AT141</f>
        <v>0</v>
      </c>
      <c r="AU141" s="167">
        <f t="shared" si="425"/>
        <v>0</v>
      </c>
      <c r="AV141" s="190">
        <f t="shared" si="426"/>
        <v>0</v>
      </c>
      <c r="AW141" s="198">
        <f t="shared" si="427"/>
        <v>0</v>
      </c>
      <c r="AX141" s="199">
        <f t="shared" si="406"/>
        <v>0</v>
      </c>
    </row>
    <row r="142" spans="1:50" ht="16.5" customHeight="1" outlineLevel="1" x14ac:dyDescent="0.25">
      <c r="B142" s="52" t="s">
        <v>306</v>
      </c>
      <c r="C142" s="64"/>
      <c r="D142" s="71"/>
      <c r="E142" s="72"/>
      <c r="F142" s="71"/>
      <c r="G142" s="167"/>
      <c r="H142" s="203">
        <f t="shared" si="386"/>
        <v>0</v>
      </c>
      <c r="I142" s="71"/>
      <c r="J142" s="167"/>
      <c r="K142" s="203">
        <f t="shared" si="388"/>
        <v>0</v>
      </c>
      <c r="L142" s="71"/>
      <c r="M142" s="167"/>
      <c r="N142" s="203">
        <f t="shared" si="390"/>
        <v>0</v>
      </c>
      <c r="O142" s="71"/>
      <c r="P142" s="33"/>
      <c r="Q142" s="157"/>
      <c r="R142" s="71"/>
      <c r="S142" s="167"/>
      <c r="T142" s="203">
        <f t="shared" si="392"/>
        <v>0</v>
      </c>
      <c r="U142" s="198">
        <f t="shared" si="393"/>
        <v>0</v>
      </c>
      <c r="V142" s="199">
        <f t="shared" si="394"/>
        <v>0</v>
      </c>
      <c r="X142" s="206">
        <f t="shared" si="412"/>
        <v>0</v>
      </c>
      <c r="Y142" s="6">
        <f>'Ενεργές συνδέσεις'!Y142</f>
        <v>0</v>
      </c>
      <c r="Z142" s="6">
        <f>'Ενεργές συνδέσεις'!Z142</f>
        <v>0</v>
      </c>
      <c r="AA142" s="167">
        <f t="shared" si="413"/>
        <v>0</v>
      </c>
      <c r="AB142" s="203">
        <f t="shared" si="414"/>
        <v>0</v>
      </c>
      <c r="AC142" s="206">
        <f t="shared" si="415"/>
        <v>1</v>
      </c>
      <c r="AD142" s="6">
        <f>'Ενεργές συνδέσεις'!AD142</f>
        <v>1</v>
      </c>
      <c r="AE142" s="6">
        <f>'Ενεργές συνδέσεις'!AE142</f>
        <v>0</v>
      </c>
      <c r="AF142" s="167">
        <f t="shared" si="416"/>
        <v>1</v>
      </c>
      <c r="AG142" s="190">
        <f t="shared" si="417"/>
        <v>0</v>
      </c>
      <c r="AH142" s="206">
        <f t="shared" si="418"/>
        <v>1</v>
      </c>
      <c r="AI142" s="6">
        <f>'Ενεργές συνδέσεις'!AI142</f>
        <v>1</v>
      </c>
      <c r="AJ142" s="6">
        <f>'Ενεργές συνδέσεις'!AJ142</f>
        <v>0</v>
      </c>
      <c r="AK142" s="167">
        <f t="shared" si="419"/>
        <v>2</v>
      </c>
      <c r="AL142" s="190">
        <f t="shared" si="420"/>
        <v>1</v>
      </c>
      <c r="AM142" s="206">
        <f t="shared" si="421"/>
        <v>0</v>
      </c>
      <c r="AN142" s="6">
        <f>'Ενεργές συνδέσεις'!AN142</f>
        <v>0</v>
      </c>
      <c r="AO142" s="6">
        <f>'Ενεργές συνδέσεις'!AO142</f>
        <v>0</v>
      </c>
      <c r="AP142" s="167">
        <f t="shared" si="422"/>
        <v>2</v>
      </c>
      <c r="AQ142" s="190">
        <f t="shared" si="423"/>
        <v>0</v>
      </c>
      <c r="AR142" s="206">
        <f t="shared" si="424"/>
        <v>0</v>
      </c>
      <c r="AS142" s="6">
        <f>'Ενεργές συνδέσεις'!AS142</f>
        <v>0</v>
      </c>
      <c r="AT142" s="6">
        <f>'Ενεργές συνδέσεις'!AT142</f>
        <v>0</v>
      </c>
      <c r="AU142" s="167">
        <f t="shared" si="425"/>
        <v>2</v>
      </c>
      <c r="AV142" s="190">
        <f t="shared" si="426"/>
        <v>0</v>
      </c>
      <c r="AW142" s="198">
        <f t="shared" si="427"/>
        <v>2</v>
      </c>
      <c r="AX142" s="199">
        <f t="shared" si="406"/>
        <v>0</v>
      </c>
    </row>
    <row r="143" spans="1:50" ht="16.5" customHeight="1" outlineLevel="1" x14ac:dyDescent="0.25">
      <c r="B143" s="52" t="s">
        <v>308</v>
      </c>
      <c r="C143" s="64"/>
      <c r="D143" s="71"/>
      <c r="E143" s="72"/>
      <c r="F143" s="71"/>
      <c r="G143" s="167"/>
      <c r="H143" s="203">
        <f t="shared" si="386"/>
        <v>0</v>
      </c>
      <c r="I143" s="71"/>
      <c r="J143" s="167"/>
      <c r="K143" s="203">
        <f t="shared" si="388"/>
        <v>0</v>
      </c>
      <c r="L143" s="71"/>
      <c r="M143" s="167"/>
      <c r="N143" s="203">
        <f t="shared" si="390"/>
        <v>0</v>
      </c>
      <c r="O143" s="71"/>
      <c r="P143" s="33"/>
      <c r="Q143" s="157"/>
      <c r="R143" s="71"/>
      <c r="S143" s="167"/>
      <c r="T143" s="203">
        <f t="shared" si="392"/>
        <v>0</v>
      </c>
      <c r="U143" s="198">
        <f t="shared" si="393"/>
        <v>0</v>
      </c>
      <c r="V143" s="199">
        <f t="shared" si="394"/>
        <v>0</v>
      </c>
      <c r="X143" s="206">
        <f t="shared" si="412"/>
        <v>0</v>
      </c>
      <c r="Y143" s="6">
        <f>'Ενεργές συνδέσεις'!Y143</f>
        <v>0</v>
      </c>
      <c r="Z143" s="6">
        <f>'Ενεργές συνδέσεις'!Z143</f>
        <v>0</v>
      </c>
      <c r="AA143" s="167">
        <f t="shared" si="413"/>
        <v>0</v>
      </c>
      <c r="AB143" s="203">
        <f t="shared" si="414"/>
        <v>0</v>
      </c>
      <c r="AC143" s="206">
        <f t="shared" si="415"/>
        <v>0</v>
      </c>
      <c r="AD143" s="6">
        <f>'Ενεργές συνδέσεις'!AD143</f>
        <v>0</v>
      </c>
      <c r="AE143" s="6">
        <f>'Ενεργές συνδέσεις'!AE143</f>
        <v>0</v>
      </c>
      <c r="AF143" s="167">
        <f t="shared" si="416"/>
        <v>0</v>
      </c>
      <c r="AG143" s="190">
        <f t="shared" si="417"/>
        <v>0</v>
      </c>
      <c r="AH143" s="206">
        <f t="shared" si="418"/>
        <v>0</v>
      </c>
      <c r="AI143" s="6">
        <f>'Ενεργές συνδέσεις'!AI143</f>
        <v>0</v>
      </c>
      <c r="AJ143" s="6">
        <f>'Ενεργές συνδέσεις'!AJ143</f>
        <v>0</v>
      </c>
      <c r="AK143" s="167">
        <f t="shared" si="419"/>
        <v>0</v>
      </c>
      <c r="AL143" s="190">
        <f t="shared" si="420"/>
        <v>0</v>
      </c>
      <c r="AM143" s="206">
        <f t="shared" si="421"/>
        <v>0</v>
      </c>
      <c r="AN143" s="6">
        <f>'Ενεργές συνδέσεις'!AN143</f>
        <v>0</v>
      </c>
      <c r="AO143" s="6">
        <f>'Ενεργές συνδέσεις'!AO143</f>
        <v>0</v>
      </c>
      <c r="AP143" s="167">
        <f t="shared" si="422"/>
        <v>0</v>
      </c>
      <c r="AQ143" s="190">
        <f t="shared" si="423"/>
        <v>0</v>
      </c>
      <c r="AR143" s="206">
        <f t="shared" si="424"/>
        <v>0</v>
      </c>
      <c r="AS143" s="6">
        <f>'Ενεργές συνδέσεις'!AS143</f>
        <v>0</v>
      </c>
      <c r="AT143" s="6">
        <f>'Ενεργές συνδέσεις'!AT143</f>
        <v>0</v>
      </c>
      <c r="AU143" s="167">
        <f t="shared" si="425"/>
        <v>0</v>
      </c>
      <c r="AV143" s="190">
        <f t="shared" si="426"/>
        <v>0</v>
      </c>
      <c r="AW143" s="198">
        <f t="shared" si="427"/>
        <v>0</v>
      </c>
      <c r="AX143" s="199">
        <f t="shared" si="406"/>
        <v>0</v>
      </c>
    </row>
    <row r="144" spans="1:50" ht="16.5" customHeight="1" outlineLevel="1" x14ac:dyDescent="0.25">
      <c r="B144" s="52"/>
      <c r="C144" s="64"/>
      <c r="D144" s="71"/>
      <c r="E144" s="72"/>
      <c r="F144" s="71"/>
      <c r="G144" s="167"/>
      <c r="H144" s="203">
        <f t="shared" si="386"/>
        <v>0</v>
      </c>
      <c r="I144" s="71"/>
      <c r="J144" s="167"/>
      <c r="K144" s="203">
        <f t="shared" si="388"/>
        <v>0</v>
      </c>
      <c r="L144" s="71"/>
      <c r="M144" s="167"/>
      <c r="N144" s="203">
        <f t="shared" si="390"/>
        <v>0</v>
      </c>
      <c r="O144" s="71"/>
      <c r="P144" s="33"/>
      <c r="Q144" s="157"/>
      <c r="R144" s="71"/>
      <c r="S144" s="167"/>
      <c r="T144" s="203">
        <f t="shared" si="392"/>
        <v>0</v>
      </c>
      <c r="U144" s="198">
        <f t="shared" si="393"/>
        <v>0</v>
      </c>
      <c r="V144" s="199">
        <f t="shared" si="394"/>
        <v>0</v>
      </c>
      <c r="X144" s="206"/>
      <c r="Y144" s="6"/>
      <c r="Z144" s="6"/>
      <c r="AA144" s="167"/>
      <c r="AB144" s="203">
        <f t="shared" si="396"/>
        <v>0</v>
      </c>
      <c r="AC144" s="206"/>
      <c r="AD144" s="6"/>
      <c r="AE144" s="6"/>
      <c r="AF144" s="167"/>
      <c r="AG144" s="190">
        <f t="shared" si="398"/>
        <v>0</v>
      </c>
      <c r="AH144" s="206"/>
      <c r="AI144" s="6"/>
      <c r="AJ144" s="6"/>
      <c r="AK144" s="167"/>
      <c r="AL144" s="190">
        <f t="shared" si="400"/>
        <v>0</v>
      </c>
      <c r="AM144" s="206"/>
      <c r="AN144" s="6"/>
      <c r="AO144" s="6"/>
      <c r="AP144" s="167"/>
      <c r="AQ144" s="190">
        <f t="shared" si="402"/>
        <v>0</v>
      </c>
      <c r="AR144" s="206"/>
      <c r="AS144" s="6"/>
      <c r="AT144" s="6"/>
      <c r="AU144" s="167"/>
      <c r="AV144" s="190">
        <f t="shared" si="404"/>
        <v>0</v>
      </c>
      <c r="AW144" s="198"/>
      <c r="AX144" s="199">
        <f t="shared" si="406"/>
        <v>0</v>
      </c>
    </row>
    <row r="145" spans="1:50" ht="15" customHeight="1" outlineLevel="1" x14ac:dyDescent="0.25">
      <c r="B145" s="349" t="s">
        <v>90</v>
      </c>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97"/>
    </row>
    <row r="146" spans="1:50" ht="15" customHeight="1" outlineLevel="1" x14ac:dyDescent="0.25">
      <c r="B146" s="52" t="s">
        <v>82</v>
      </c>
      <c r="C146" s="49" t="s">
        <v>22</v>
      </c>
      <c r="D146" s="207">
        <f>SUM(D130:D144)</f>
        <v>0</v>
      </c>
      <c r="E146" s="208">
        <f>SUM(E130:E144)</f>
        <v>0</v>
      </c>
      <c r="F146" s="207">
        <f>SUM(F130:F144)</f>
        <v>0</v>
      </c>
      <c r="G146" s="172">
        <f>SUM(G130:G144)</f>
        <v>0</v>
      </c>
      <c r="H146" s="202">
        <f>IFERROR((G146-E146)/E146,0)</f>
        <v>0</v>
      </c>
      <c r="I146" s="207">
        <f>SUM(I130:I144)</f>
        <v>0</v>
      </c>
      <c r="J146" s="172">
        <f>SUM(J130:J144)</f>
        <v>0</v>
      </c>
      <c r="K146" s="202">
        <f t="shared" ref="K146" si="428">IFERROR((J146-G146)/G146,0)</f>
        <v>0</v>
      </c>
      <c r="L146" s="207">
        <f>SUM(L130:L144)</f>
        <v>0</v>
      </c>
      <c r="M146" s="172">
        <f>SUM(M130:M144)</f>
        <v>0</v>
      </c>
      <c r="N146" s="202">
        <f t="shared" ref="N146" si="429">IFERROR((M146-J146)/J146,0)</f>
        <v>0</v>
      </c>
      <c r="O146" s="207">
        <f>SUM(O130:O144)</f>
        <v>0</v>
      </c>
      <c r="P146" s="158"/>
      <c r="Q146" s="159"/>
      <c r="R146" s="207">
        <f>SUM(R130:R144)</f>
        <v>0</v>
      </c>
      <c r="S146" s="172">
        <f>SUM(S130:S144)</f>
        <v>0</v>
      </c>
      <c r="T146" s="202">
        <f t="shared" ref="T146" si="430">IFERROR((S146-M146)/M146,0)</f>
        <v>0</v>
      </c>
      <c r="U146" s="198">
        <f>D146+F146+I146+L146+R146</f>
        <v>0</v>
      </c>
      <c r="V146" s="199">
        <f>IFERROR((S146/E146)^(1/4)-1,0)</f>
        <v>0</v>
      </c>
      <c r="X146" s="188">
        <f>SUM(X130:X144)</f>
        <v>2</v>
      </c>
      <c r="Y146" s="187">
        <f>SUM(Y130:Y144)</f>
        <v>2</v>
      </c>
      <c r="Z146" s="187">
        <f>SUM(Z130:Z144)</f>
        <v>0</v>
      </c>
      <c r="AA146" s="187">
        <f>SUM(AA130:AA144)</f>
        <v>2</v>
      </c>
      <c r="AB146" s="202">
        <f>IFERROR((AA146-S146)/S146,0)</f>
        <v>0</v>
      </c>
      <c r="AC146" s="188">
        <f>SUM(AC130:AC144)</f>
        <v>14</v>
      </c>
      <c r="AD146" s="187">
        <f>SUM(AD130:AD144)</f>
        <v>14</v>
      </c>
      <c r="AE146" s="187">
        <f>SUM(AE130:AE144)</f>
        <v>0</v>
      </c>
      <c r="AF146" s="187">
        <f>SUM(AF130:AF144)</f>
        <v>16</v>
      </c>
      <c r="AG146" s="191">
        <f t="shared" ref="AG146" si="431">IFERROR((AF146-AA146)/AA146,0)</f>
        <v>7</v>
      </c>
      <c r="AH146" s="188">
        <f>SUM(AH130:AH144)</f>
        <v>12</v>
      </c>
      <c r="AI146" s="187">
        <f>SUM(AI130:AI144)</f>
        <v>12</v>
      </c>
      <c r="AJ146" s="187">
        <f>SUM(AJ130:AJ144)</f>
        <v>0</v>
      </c>
      <c r="AK146" s="187">
        <f>SUM(AK130:AK144)</f>
        <v>28</v>
      </c>
      <c r="AL146" s="191">
        <f t="shared" ref="AL146" si="432">IFERROR((AK146-AF146)/AF146,0)</f>
        <v>0.75</v>
      </c>
      <c r="AM146" s="188">
        <f>SUM(AM130:AM144)</f>
        <v>9</v>
      </c>
      <c r="AN146" s="187">
        <f>SUM(AN130:AN144)</f>
        <v>9</v>
      </c>
      <c r="AO146" s="187">
        <f>SUM(AO130:AO144)</f>
        <v>0</v>
      </c>
      <c r="AP146" s="187">
        <f>SUM(AP130:AP144)</f>
        <v>37</v>
      </c>
      <c r="AQ146" s="191">
        <f t="shared" ref="AQ146" si="433">IFERROR((AP146-AK146)/AK146,0)</f>
        <v>0.32142857142857145</v>
      </c>
      <c r="AR146" s="188">
        <f>SUM(AR130:AR144)</f>
        <v>4</v>
      </c>
      <c r="AS146" s="187">
        <f>SUM(AS130:AS144)</f>
        <v>4</v>
      </c>
      <c r="AT146" s="187">
        <f>SUM(AT130:AT144)</f>
        <v>0</v>
      </c>
      <c r="AU146" s="187">
        <f>SUM(AU130:AU144)</f>
        <v>41</v>
      </c>
      <c r="AV146" s="191">
        <f t="shared" ref="AV146" si="434">IFERROR((AU146-AP146)/AP146,0)</f>
        <v>0.10810810810810811</v>
      </c>
      <c r="AW146" s="188">
        <f>SUM(AW130:AW144)</f>
        <v>41</v>
      </c>
      <c r="AX146" s="199">
        <f t="shared" ref="AX146" si="435">IFERROR((AU146/AA146)^(1/4)-1,0)</f>
        <v>1.1278375335228743</v>
      </c>
    </row>
    <row r="147" spans="1:50" ht="15" customHeight="1" x14ac:dyDescent="0.25"/>
    <row r="148" spans="1:50" ht="15.75" x14ac:dyDescent="0.25">
      <c r="B148" s="352" t="s">
        <v>12</v>
      </c>
      <c r="C148" s="35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row>
    <row r="149" spans="1:50" ht="5.45" customHeight="1" outlineLevel="1" x14ac:dyDescent="0.2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row>
    <row r="150" spans="1:50" outlineLevel="1" x14ac:dyDescent="0.25">
      <c r="B150" s="393"/>
      <c r="C150" s="396" t="s">
        <v>20</v>
      </c>
      <c r="D150" s="372" t="s">
        <v>262</v>
      </c>
      <c r="E150" s="373"/>
      <c r="F150" s="373"/>
      <c r="G150" s="373"/>
      <c r="H150" s="373"/>
      <c r="I150" s="373"/>
      <c r="J150" s="373"/>
      <c r="K150" s="373"/>
      <c r="L150" s="373"/>
      <c r="M150" s="373"/>
      <c r="N150" s="373"/>
      <c r="O150" s="373"/>
      <c r="P150" s="373"/>
      <c r="Q150" s="374"/>
      <c r="R150" s="372" t="s">
        <v>260</v>
      </c>
      <c r="S150" s="373"/>
      <c r="T150" s="374"/>
      <c r="U150" s="388" t="str">
        <f xml:space="preserve"> D151&amp;" - "&amp;R151</f>
        <v>2018 - 2022</v>
      </c>
      <c r="V150" s="398"/>
      <c r="X150" s="372" t="s">
        <v>261</v>
      </c>
      <c r="Y150" s="373"/>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4"/>
    </row>
    <row r="151" spans="1:50" outlineLevel="1" x14ac:dyDescent="0.25">
      <c r="B151" s="394"/>
      <c r="C151" s="396"/>
      <c r="D151" s="372">
        <f>$C$3-5</f>
        <v>2018</v>
      </c>
      <c r="E151" s="374"/>
      <c r="F151" s="372">
        <f>$C$3-4</f>
        <v>2019</v>
      </c>
      <c r="G151" s="373"/>
      <c r="H151" s="374"/>
      <c r="I151" s="372">
        <f>$C$3-3</f>
        <v>2020</v>
      </c>
      <c r="J151" s="373"/>
      <c r="K151" s="374"/>
      <c r="L151" s="372">
        <f>$C$3-2</f>
        <v>2021</v>
      </c>
      <c r="M151" s="373"/>
      <c r="N151" s="374"/>
      <c r="O151" s="372" t="str">
        <f>$C$3-1&amp;""&amp;" ("&amp;"Σεπτ"&amp;")"</f>
        <v>2022 (Σεπτ)</v>
      </c>
      <c r="P151" s="373"/>
      <c r="Q151" s="374"/>
      <c r="R151" s="372">
        <f>$C$3-1</f>
        <v>2022</v>
      </c>
      <c r="S151" s="373"/>
      <c r="T151" s="374"/>
      <c r="U151" s="390"/>
      <c r="V151" s="399"/>
      <c r="X151" s="372">
        <f>$C$3</f>
        <v>2023</v>
      </c>
      <c r="Y151" s="373"/>
      <c r="Z151" s="373"/>
      <c r="AA151" s="373"/>
      <c r="AB151" s="374"/>
      <c r="AC151" s="372">
        <f>$C$3+1</f>
        <v>2024</v>
      </c>
      <c r="AD151" s="373"/>
      <c r="AE151" s="373"/>
      <c r="AF151" s="373"/>
      <c r="AG151" s="374"/>
      <c r="AH151" s="372">
        <f>$C$3+2</f>
        <v>2025</v>
      </c>
      <c r="AI151" s="373"/>
      <c r="AJ151" s="373"/>
      <c r="AK151" s="373"/>
      <c r="AL151" s="374"/>
      <c r="AM151" s="372">
        <f>$C$3+3</f>
        <v>2026</v>
      </c>
      <c r="AN151" s="373"/>
      <c r="AO151" s="373"/>
      <c r="AP151" s="373"/>
      <c r="AQ151" s="374"/>
      <c r="AR151" s="372">
        <f>$C$3+4</f>
        <v>2027</v>
      </c>
      <c r="AS151" s="373"/>
      <c r="AT151" s="373"/>
      <c r="AU151" s="373"/>
      <c r="AV151" s="374"/>
      <c r="AW151" s="376" t="str">
        <f>X151&amp;" - "&amp;AR151</f>
        <v>2023 - 2027</v>
      </c>
      <c r="AX151" s="392"/>
    </row>
    <row r="152" spans="1:50" ht="45" outlineLevel="1" x14ac:dyDescent="0.25">
      <c r="B152" s="395"/>
      <c r="C152" s="396"/>
      <c r="D152" s="67" t="s">
        <v>6</v>
      </c>
      <c r="E152" s="68" t="s">
        <v>7</v>
      </c>
      <c r="F152" s="67" t="s">
        <v>6</v>
      </c>
      <c r="G152" s="9" t="s">
        <v>7</v>
      </c>
      <c r="H152" s="68" t="s">
        <v>81</v>
      </c>
      <c r="I152" s="67" t="s">
        <v>6</v>
      </c>
      <c r="J152" s="9" t="s">
        <v>7</v>
      </c>
      <c r="K152" s="68" t="s">
        <v>81</v>
      </c>
      <c r="L152" s="67" t="s">
        <v>6</v>
      </c>
      <c r="M152" s="9" t="s">
        <v>7</v>
      </c>
      <c r="N152" s="68" t="s">
        <v>81</v>
      </c>
      <c r="O152" s="67" t="s">
        <v>6</v>
      </c>
      <c r="P152" s="9" t="s">
        <v>7</v>
      </c>
      <c r="Q152" s="68" t="s">
        <v>81</v>
      </c>
      <c r="R152" s="67" t="s">
        <v>6</v>
      </c>
      <c r="S152" s="9" t="s">
        <v>7</v>
      </c>
      <c r="T152" s="68" t="s">
        <v>81</v>
      </c>
      <c r="U152" s="67" t="s">
        <v>17</v>
      </c>
      <c r="V152" s="132" t="s">
        <v>83</v>
      </c>
      <c r="X152" s="67" t="s">
        <v>6</v>
      </c>
      <c r="Y152" s="117" t="s">
        <v>88</v>
      </c>
      <c r="Z152" s="117" t="s">
        <v>89</v>
      </c>
      <c r="AA152" s="9" t="s">
        <v>7</v>
      </c>
      <c r="AB152" s="68" t="s">
        <v>81</v>
      </c>
      <c r="AC152" s="67" t="s">
        <v>6</v>
      </c>
      <c r="AD152" s="117" t="s">
        <v>88</v>
      </c>
      <c r="AE152" s="117" t="s">
        <v>89</v>
      </c>
      <c r="AF152" s="9" t="s">
        <v>7</v>
      </c>
      <c r="AG152" s="68" t="s">
        <v>81</v>
      </c>
      <c r="AH152" s="67" t="s">
        <v>6</v>
      </c>
      <c r="AI152" s="117" t="s">
        <v>88</v>
      </c>
      <c r="AJ152" s="117" t="s">
        <v>89</v>
      </c>
      <c r="AK152" s="9" t="s">
        <v>7</v>
      </c>
      <c r="AL152" s="68" t="s">
        <v>81</v>
      </c>
      <c r="AM152" s="67" t="s">
        <v>6</v>
      </c>
      <c r="AN152" s="117" t="s">
        <v>88</v>
      </c>
      <c r="AO152" s="117" t="s">
        <v>89</v>
      </c>
      <c r="AP152" s="9" t="s">
        <v>7</v>
      </c>
      <c r="AQ152" s="68" t="s">
        <v>81</v>
      </c>
      <c r="AR152" s="67" t="s">
        <v>6</v>
      </c>
      <c r="AS152" s="117" t="s">
        <v>88</v>
      </c>
      <c r="AT152" s="117" t="s">
        <v>89</v>
      </c>
      <c r="AU152" s="9" t="s">
        <v>7</v>
      </c>
      <c r="AV152" s="68" t="s">
        <v>81</v>
      </c>
      <c r="AW152" s="67" t="s">
        <v>17</v>
      </c>
      <c r="AX152" s="132" t="s">
        <v>83</v>
      </c>
    </row>
    <row r="153" spans="1:50" outlineLevel="1" x14ac:dyDescent="0.25">
      <c r="B153" s="281" t="s">
        <v>283</v>
      </c>
      <c r="C153" s="64" t="s">
        <v>22</v>
      </c>
      <c r="D153" s="71"/>
      <c r="E153" s="72"/>
      <c r="F153" s="71"/>
      <c r="G153" s="167">
        <f t="shared" ref="G153:G161" si="436">E153+F153</f>
        <v>0</v>
      </c>
      <c r="H153" s="203">
        <f t="shared" ref="H153:H167" si="437">IFERROR((G153-E153)/E153,0)</f>
        <v>0</v>
      </c>
      <c r="I153" s="71"/>
      <c r="J153" s="167">
        <f t="shared" ref="J153:J161" si="438">G153+I153</f>
        <v>0</v>
      </c>
      <c r="K153" s="203">
        <f t="shared" ref="K153:K167" si="439">IFERROR((J153-G153)/G153,0)</f>
        <v>0</v>
      </c>
      <c r="L153" s="71"/>
      <c r="M153" s="167">
        <f t="shared" ref="M153:M161" si="440">J153+L153</f>
        <v>0</v>
      </c>
      <c r="N153" s="203">
        <f t="shared" ref="N153:N167" si="441">IFERROR((M153-J153)/J153,0)</f>
        <v>0</v>
      </c>
      <c r="O153" s="71"/>
      <c r="P153" s="33"/>
      <c r="Q153" s="157"/>
      <c r="R153" s="71"/>
      <c r="S153" s="167">
        <f t="shared" ref="S153:S161" si="442">M153+R153</f>
        <v>0</v>
      </c>
      <c r="T153" s="203">
        <f t="shared" ref="T153:T167" si="443">IFERROR((S153-M153)/M153,0)</f>
        <v>0</v>
      </c>
      <c r="U153" s="198">
        <f t="shared" ref="U153:U167" si="444">D153+F153+I153+L153+R153</f>
        <v>0</v>
      </c>
      <c r="V153" s="199">
        <f t="shared" ref="V153:V167" si="445">IFERROR((S153/E153)^(1/4)-1,0)</f>
        <v>0</v>
      </c>
      <c r="X153" s="206">
        <f>Y153+Z153</f>
        <v>0</v>
      </c>
      <c r="Y153" s="6">
        <f>'Ενεργές συνδέσεις'!Y153</f>
        <v>0</v>
      </c>
      <c r="Z153" s="6">
        <f>'Ενεργές συνδέσεις'!Z153</f>
        <v>0</v>
      </c>
      <c r="AA153" s="167">
        <f t="shared" ref="AA153:AA161" si="446">S153+X153</f>
        <v>0</v>
      </c>
      <c r="AB153" s="203">
        <f t="shared" ref="AB153:AB167" si="447">IFERROR((AA153-S153)/S153,0)</f>
        <v>0</v>
      </c>
      <c r="AC153" s="206">
        <f>AD153+AE153</f>
        <v>0</v>
      </c>
      <c r="AD153" s="6">
        <f>'Ενεργές συνδέσεις'!AD153</f>
        <v>0</v>
      </c>
      <c r="AE153" s="6">
        <f>'Ενεργές συνδέσεις'!AE153</f>
        <v>0</v>
      </c>
      <c r="AF153" s="167">
        <f t="shared" ref="AF153:AF161" si="448">AA153+AC153</f>
        <v>0</v>
      </c>
      <c r="AG153" s="190">
        <f t="shared" ref="AG153:AG167" si="449">IFERROR((AF153-AA153)/AA153,0)</f>
        <v>0</v>
      </c>
      <c r="AH153" s="206">
        <f>AI153+AJ153</f>
        <v>0</v>
      </c>
      <c r="AI153" s="6">
        <f>'Ενεργές συνδέσεις'!AI153</f>
        <v>0</v>
      </c>
      <c r="AJ153" s="6">
        <f>'Ενεργές συνδέσεις'!AJ153</f>
        <v>0</v>
      </c>
      <c r="AK153" s="167">
        <f t="shared" ref="AK153:AK161" si="450">AF153+AH153</f>
        <v>0</v>
      </c>
      <c r="AL153" s="190">
        <f t="shared" ref="AL153:AL167" si="451">IFERROR((AK153-AF153)/AF153,0)</f>
        <v>0</v>
      </c>
      <c r="AM153" s="206">
        <f>AN153+AO153</f>
        <v>0</v>
      </c>
      <c r="AN153" s="6">
        <f>'Ενεργές συνδέσεις'!AN153</f>
        <v>0</v>
      </c>
      <c r="AO153" s="6">
        <f>'Ενεργές συνδέσεις'!AO153</f>
        <v>0</v>
      </c>
      <c r="AP153" s="167">
        <f t="shared" ref="AP153:AP161" si="452">AK153+AM153</f>
        <v>0</v>
      </c>
      <c r="AQ153" s="190">
        <f t="shared" ref="AQ153:AQ167" si="453">IFERROR((AP153-AK153)/AK153,0)</f>
        <v>0</v>
      </c>
      <c r="AR153" s="206">
        <f>AS153+AT153</f>
        <v>0</v>
      </c>
      <c r="AS153" s="6">
        <f>'Ενεργές συνδέσεις'!AS153</f>
        <v>0</v>
      </c>
      <c r="AT153" s="6">
        <f>'Ενεργές συνδέσεις'!AT153</f>
        <v>0</v>
      </c>
      <c r="AU153" s="167">
        <f t="shared" ref="AU153:AU161" si="454">AP153+AR153</f>
        <v>0</v>
      </c>
      <c r="AV153" s="190">
        <f t="shared" ref="AV153:AV167" si="455">IFERROR((AU153-AP153)/AP153,0)</f>
        <v>0</v>
      </c>
      <c r="AW153" s="198">
        <f t="shared" ref="AW153:AW161" si="456">X153+AC153+AH153+AM153+AR153</f>
        <v>0</v>
      </c>
      <c r="AX153" s="199">
        <f t="shared" ref="AX153:AX167" si="457">IFERROR((AU153/AA153)^(1/4)-1,0)</f>
        <v>0</v>
      </c>
    </row>
    <row r="154" spans="1:50" s="55" customFormat="1" outlineLevel="1" x14ac:dyDescent="0.25">
      <c r="A154"/>
      <c r="B154" s="52" t="s">
        <v>284</v>
      </c>
      <c r="C154" s="64" t="s">
        <v>22</v>
      </c>
      <c r="D154" s="73"/>
      <c r="E154" s="74"/>
      <c r="F154" s="73"/>
      <c r="G154" s="167">
        <f t="shared" si="436"/>
        <v>0</v>
      </c>
      <c r="H154" s="203">
        <f t="shared" si="437"/>
        <v>0</v>
      </c>
      <c r="I154" s="73"/>
      <c r="J154" s="167">
        <f t="shared" si="438"/>
        <v>0</v>
      </c>
      <c r="K154" s="203">
        <f t="shared" si="439"/>
        <v>0</v>
      </c>
      <c r="L154" s="73"/>
      <c r="M154" s="167">
        <f t="shared" si="440"/>
        <v>0</v>
      </c>
      <c r="N154" s="203">
        <f t="shared" si="441"/>
        <v>0</v>
      </c>
      <c r="O154" s="73"/>
      <c r="P154" s="151"/>
      <c r="Q154" s="154"/>
      <c r="R154" s="73"/>
      <c r="S154" s="167">
        <f t="shared" si="442"/>
        <v>0</v>
      </c>
      <c r="T154" s="203">
        <f t="shared" si="443"/>
        <v>0</v>
      </c>
      <c r="U154" s="198">
        <f t="shared" si="444"/>
        <v>0</v>
      </c>
      <c r="V154" s="199">
        <f t="shared" si="445"/>
        <v>0</v>
      </c>
      <c r="W154"/>
      <c r="X154" s="206">
        <f t="shared" ref="X154:X161" si="458">Y154+Z154</f>
        <v>0</v>
      </c>
      <c r="Y154" s="6">
        <f>'Ενεργές συνδέσεις'!Y154</f>
        <v>0</v>
      </c>
      <c r="Z154" s="6">
        <f>'Ενεργές συνδέσεις'!Z154</f>
        <v>0</v>
      </c>
      <c r="AA154" s="167">
        <f t="shared" si="446"/>
        <v>0</v>
      </c>
      <c r="AB154" s="203">
        <f t="shared" si="447"/>
        <v>0</v>
      </c>
      <c r="AC154" s="206">
        <f t="shared" ref="AC154:AC161" si="459">AD154+AE154</f>
        <v>0</v>
      </c>
      <c r="AD154" s="6">
        <f>'Ενεργές συνδέσεις'!AD154</f>
        <v>0</v>
      </c>
      <c r="AE154" s="6">
        <f>'Ενεργές συνδέσεις'!AE154</f>
        <v>0</v>
      </c>
      <c r="AF154" s="167">
        <f t="shared" si="448"/>
        <v>0</v>
      </c>
      <c r="AG154" s="190">
        <f t="shared" si="449"/>
        <v>0</v>
      </c>
      <c r="AH154" s="206">
        <f t="shared" ref="AH154:AH161" si="460">AI154+AJ154</f>
        <v>0</v>
      </c>
      <c r="AI154" s="6">
        <f>'Ενεργές συνδέσεις'!AI154</f>
        <v>0</v>
      </c>
      <c r="AJ154" s="6">
        <f>'Ενεργές συνδέσεις'!AJ154</f>
        <v>0</v>
      </c>
      <c r="AK154" s="167">
        <f t="shared" si="450"/>
        <v>0</v>
      </c>
      <c r="AL154" s="190">
        <f t="shared" si="451"/>
        <v>0</v>
      </c>
      <c r="AM154" s="206">
        <f t="shared" ref="AM154:AM161" si="461">AN154+AO154</f>
        <v>0</v>
      </c>
      <c r="AN154" s="6">
        <f>'Ενεργές συνδέσεις'!AN154</f>
        <v>0</v>
      </c>
      <c r="AO154" s="6">
        <f>'Ενεργές συνδέσεις'!AO154</f>
        <v>0</v>
      </c>
      <c r="AP154" s="167">
        <f t="shared" si="452"/>
        <v>0</v>
      </c>
      <c r="AQ154" s="190">
        <f t="shared" si="453"/>
        <v>0</v>
      </c>
      <c r="AR154" s="206">
        <f t="shared" ref="AR154:AR161" si="462">AS154+AT154</f>
        <v>0</v>
      </c>
      <c r="AS154" s="6">
        <f>'Ενεργές συνδέσεις'!AS154</f>
        <v>0</v>
      </c>
      <c r="AT154" s="6">
        <f>'Ενεργές συνδέσεις'!AT154</f>
        <v>0</v>
      </c>
      <c r="AU154" s="167">
        <f t="shared" si="454"/>
        <v>0</v>
      </c>
      <c r="AV154" s="190">
        <f t="shared" si="455"/>
        <v>0</v>
      </c>
      <c r="AW154" s="198">
        <f t="shared" si="456"/>
        <v>0</v>
      </c>
      <c r="AX154" s="199">
        <f t="shared" si="457"/>
        <v>0</v>
      </c>
    </row>
    <row r="155" spans="1:50" s="55" customFormat="1" outlineLevel="1" x14ac:dyDescent="0.25">
      <c r="A155"/>
      <c r="B155" s="52" t="s">
        <v>285</v>
      </c>
      <c r="C155" s="64" t="s">
        <v>22</v>
      </c>
      <c r="D155" s="73"/>
      <c r="E155" s="74"/>
      <c r="F155" s="73"/>
      <c r="G155" s="167">
        <f t="shared" si="436"/>
        <v>0</v>
      </c>
      <c r="H155" s="203">
        <f t="shared" si="437"/>
        <v>0</v>
      </c>
      <c r="I155" s="73"/>
      <c r="J155" s="167">
        <f t="shared" si="438"/>
        <v>0</v>
      </c>
      <c r="K155" s="203">
        <f t="shared" si="439"/>
        <v>0</v>
      </c>
      <c r="L155" s="73"/>
      <c r="M155" s="167">
        <f t="shared" si="440"/>
        <v>0</v>
      </c>
      <c r="N155" s="203">
        <f t="shared" si="441"/>
        <v>0</v>
      </c>
      <c r="O155" s="73"/>
      <c r="P155" s="151"/>
      <c r="Q155" s="154"/>
      <c r="R155" s="73"/>
      <c r="S155" s="167">
        <f t="shared" si="442"/>
        <v>0</v>
      </c>
      <c r="T155" s="203">
        <f t="shared" si="443"/>
        <v>0</v>
      </c>
      <c r="U155" s="198">
        <f t="shared" si="444"/>
        <v>0</v>
      </c>
      <c r="V155" s="199">
        <f t="shared" si="445"/>
        <v>0</v>
      </c>
      <c r="W155"/>
      <c r="X155" s="206">
        <f t="shared" si="458"/>
        <v>0</v>
      </c>
      <c r="Y155" s="6">
        <f>'Ενεργές συνδέσεις'!Y155</f>
        <v>0</v>
      </c>
      <c r="Z155" s="6">
        <f>'Ενεργές συνδέσεις'!Z155</f>
        <v>0</v>
      </c>
      <c r="AA155" s="167">
        <f t="shared" si="446"/>
        <v>0</v>
      </c>
      <c r="AB155" s="203">
        <f t="shared" si="447"/>
        <v>0</v>
      </c>
      <c r="AC155" s="206">
        <f t="shared" si="459"/>
        <v>0</v>
      </c>
      <c r="AD155" s="6">
        <f>'Ενεργές συνδέσεις'!AD155</f>
        <v>0</v>
      </c>
      <c r="AE155" s="6">
        <f>'Ενεργές συνδέσεις'!AE155</f>
        <v>0</v>
      </c>
      <c r="AF155" s="167">
        <f t="shared" si="448"/>
        <v>0</v>
      </c>
      <c r="AG155" s="190">
        <f t="shared" si="449"/>
        <v>0</v>
      </c>
      <c r="AH155" s="206">
        <f t="shared" si="460"/>
        <v>0</v>
      </c>
      <c r="AI155" s="6">
        <f>'Ενεργές συνδέσεις'!AI155</f>
        <v>0</v>
      </c>
      <c r="AJ155" s="6">
        <f>'Ενεργές συνδέσεις'!AJ155</f>
        <v>0</v>
      </c>
      <c r="AK155" s="167">
        <f t="shared" si="450"/>
        <v>0</v>
      </c>
      <c r="AL155" s="190">
        <f t="shared" si="451"/>
        <v>0</v>
      </c>
      <c r="AM155" s="206">
        <f t="shared" si="461"/>
        <v>0</v>
      </c>
      <c r="AN155" s="6">
        <f>'Ενεργές συνδέσεις'!AN155</f>
        <v>0</v>
      </c>
      <c r="AO155" s="6">
        <f>'Ενεργές συνδέσεις'!AO155</f>
        <v>0</v>
      </c>
      <c r="AP155" s="167">
        <f t="shared" si="452"/>
        <v>0</v>
      </c>
      <c r="AQ155" s="190">
        <f t="shared" si="453"/>
        <v>0</v>
      </c>
      <c r="AR155" s="206">
        <f t="shared" si="462"/>
        <v>0</v>
      </c>
      <c r="AS155" s="6">
        <f>'Ενεργές συνδέσεις'!AS155</f>
        <v>0</v>
      </c>
      <c r="AT155" s="6">
        <f>'Ενεργές συνδέσεις'!AT155</f>
        <v>0</v>
      </c>
      <c r="AU155" s="167">
        <f t="shared" si="454"/>
        <v>0</v>
      </c>
      <c r="AV155" s="190">
        <f t="shared" si="455"/>
        <v>0</v>
      </c>
      <c r="AW155" s="198">
        <f t="shared" si="456"/>
        <v>0</v>
      </c>
      <c r="AX155" s="199">
        <f t="shared" si="457"/>
        <v>0</v>
      </c>
    </row>
    <row r="156" spans="1:50" outlineLevel="1" x14ac:dyDescent="0.25">
      <c r="B156" s="52" t="s">
        <v>286</v>
      </c>
      <c r="C156" s="64" t="s">
        <v>22</v>
      </c>
      <c r="D156" s="71"/>
      <c r="E156" s="72"/>
      <c r="F156" s="71"/>
      <c r="G156" s="167">
        <f t="shared" si="436"/>
        <v>0</v>
      </c>
      <c r="H156" s="203">
        <f t="shared" si="437"/>
        <v>0</v>
      </c>
      <c r="I156" s="71"/>
      <c r="J156" s="167">
        <f t="shared" si="438"/>
        <v>0</v>
      </c>
      <c r="K156" s="203">
        <f t="shared" si="439"/>
        <v>0</v>
      </c>
      <c r="L156" s="71"/>
      <c r="M156" s="167">
        <f t="shared" si="440"/>
        <v>0</v>
      </c>
      <c r="N156" s="203">
        <f t="shared" si="441"/>
        <v>0</v>
      </c>
      <c r="O156" s="71"/>
      <c r="P156" s="33"/>
      <c r="Q156" s="157"/>
      <c r="R156" s="71"/>
      <c r="S156" s="167">
        <f t="shared" si="442"/>
        <v>0</v>
      </c>
      <c r="T156" s="203">
        <f t="shared" si="443"/>
        <v>0</v>
      </c>
      <c r="U156" s="198">
        <f t="shared" si="444"/>
        <v>0</v>
      </c>
      <c r="V156" s="199">
        <f t="shared" si="445"/>
        <v>0</v>
      </c>
      <c r="X156" s="206">
        <f t="shared" si="458"/>
        <v>0</v>
      </c>
      <c r="Y156" s="6">
        <f>'Ενεργές συνδέσεις'!Y156</f>
        <v>0</v>
      </c>
      <c r="Z156" s="6">
        <f>'Ενεργές συνδέσεις'!Z156</f>
        <v>0</v>
      </c>
      <c r="AA156" s="167">
        <f t="shared" si="446"/>
        <v>0</v>
      </c>
      <c r="AB156" s="203">
        <f t="shared" si="447"/>
        <v>0</v>
      </c>
      <c r="AC156" s="206">
        <f t="shared" si="459"/>
        <v>1</v>
      </c>
      <c r="AD156" s="6">
        <f>'Ενεργές συνδέσεις'!AD156</f>
        <v>1</v>
      </c>
      <c r="AE156" s="6">
        <f>'Ενεργές συνδέσεις'!AE156</f>
        <v>0</v>
      </c>
      <c r="AF156" s="167">
        <f t="shared" si="448"/>
        <v>1</v>
      </c>
      <c r="AG156" s="190">
        <f t="shared" si="449"/>
        <v>0</v>
      </c>
      <c r="AH156" s="206">
        <f t="shared" si="460"/>
        <v>0</v>
      </c>
      <c r="AI156" s="6">
        <f>'Ενεργές συνδέσεις'!AI156</f>
        <v>0</v>
      </c>
      <c r="AJ156" s="6">
        <f>'Ενεργές συνδέσεις'!AJ156</f>
        <v>0</v>
      </c>
      <c r="AK156" s="167">
        <f t="shared" si="450"/>
        <v>1</v>
      </c>
      <c r="AL156" s="190">
        <f t="shared" si="451"/>
        <v>0</v>
      </c>
      <c r="AM156" s="206">
        <f t="shared" si="461"/>
        <v>0</v>
      </c>
      <c r="AN156" s="6">
        <f>'Ενεργές συνδέσεις'!AN156</f>
        <v>0</v>
      </c>
      <c r="AO156" s="6">
        <f>'Ενεργές συνδέσεις'!AO156</f>
        <v>0</v>
      </c>
      <c r="AP156" s="167">
        <f t="shared" si="452"/>
        <v>1</v>
      </c>
      <c r="AQ156" s="190">
        <f t="shared" si="453"/>
        <v>0</v>
      </c>
      <c r="AR156" s="206">
        <f t="shared" si="462"/>
        <v>0</v>
      </c>
      <c r="AS156" s="6">
        <f>'Ενεργές συνδέσεις'!AS156</f>
        <v>0</v>
      </c>
      <c r="AT156" s="6">
        <f>'Ενεργές συνδέσεις'!AT156</f>
        <v>0</v>
      </c>
      <c r="AU156" s="167">
        <f t="shared" si="454"/>
        <v>1</v>
      </c>
      <c r="AV156" s="190">
        <f t="shared" si="455"/>
        <v>0</v>
      </c>
      <c r="AW156" s="198">
        <f t="shared" si="456"/>
        <v>1</v>
      </c>
      <c r="AX156" s="199">
        <f t="shared" si="457"/>
        <v>0</v>
      </c>
    </row>
    <row r="157" spans="1:50" s="55" customFormat="1" outlineLevel="1" x14ac:dyDescent="0.25">
      <c r="A157"/>
      <c r="B157" s="52" t="s">
        <v>287</v>
      </c>
      <c r="C157" s="64" t="s">
        <v>22</v>
      </c>
      <c r="D157" s="73"/>
      <c r="E157" s="74"/>
      <c r="F157" s="73"/>
      <c r="G157" s="167">
        <f t="shared" si="436"/>
        <v>0</v>
      </c>
      <c r="H157" s="203">
        <f t="shared" si="437"/>
        <v>0</v>
      </c>
      <c r="I157" s="73"/>
      <c r="J157" s="167">
        <f t="shared" si="438"/>
        <v>0</v>
      </c>
      <c r="K157" s="203">
        <f t="shared" si="439"/>
        <v>0</v>
      </c>
      <c r="L157" s="73"/>
      <c r="M157" s="167">
        <f t="shared" si="440"/>
        <v>0</v>
      </c>
      <c r="N157" s="203">
        <f t="shared" si="441"/>
        <v>0</v>
      </c>
      <c r="O157" s="73"/>
      <c r="P157" s="151"/>
      <c r="Q157" s="154"/>
      <c r="R157" s="73"/>
      <c r="S157" s="167">
        <f t="shared" si="442"/>
        <v>0</v>
      </c>
      <c r="T157" s="203">
        <f t="shared" si="443"/>
        <v>0</v>
      </c>
      <c r="U157" s="198">
        <f t="shared" si="444"/>
        <v>0</v>
      </c>
      <c r="V157" s="199">
        <f t="shared" si="445"/>
        <v>0</v>
      </c>
      <c r="W157"/>
      <c r="X157" s="206">
        <f t="shared" si="458"/>
        <v>0</v>
      </c>
      <c r="Y157" s="6">
        <f>'Ενεργές συνδέσεις'!Y157</f>
        <v>0</v>
      </c>
      <c r="Z157" s="6">
        <f>'Ενεργές συνδέσεις'!Z157</f>
        <v>0</v>
      </c>
      <c r="AA157" s="167">
        <f t="shared" si="446"/>
        <v>0</v>
      </c>
      <c r="AB157" s="203">
        <f t="shared" si="447"/>
        <v>0</v>
      </c>
      <c r="AC157" s="206">
        <f t="shared" si="459"/>
        <v>1</v>
      </c>
      <c r="AD157" s="6">
        <f>'Ενεργές συνδέσεις'!AD157</f>
        <v>1</v>
      </c>
      <c r="AE157" s="6">
        <f>'Ενεργές συνδέσεις'!AE157</f>
        <v>0</v>
      </c>
      <c r="AF157" s="167">
        <f t="shared" si="448"/>
        <v>1</v>
      </c>
      <c r="AG157" s="190">
        <f t="shared" si="449"/>
        <v>0</v>
      </c>
      <c r="AH157" s="206">
        <f t="shared" si="460"/>
        <v>0</v>
      </c>
      <c r="AI157" s="6">
        <f>'Ενεργές συνδέσεις'!AI157</f>
        <v>0</v>
      </c>
      <c r="AJ157" s="6">
        <f>'Ενεργές συνδέσεις'!AJ157</f>
        <v>0</v>
      </c>
      <c r="AK157" s="167">
        <f t="shared" si="450"/>
        <v>1</v>
      </c>
      <c r="AL157" s="190">
        <f t="shared" si="451"/>
        <v>0</v>
      </c>
      <c r="AM157" s="206">
        <f t="shared" si="461"/>
        <v>0</v>
      </c>
      <c r="AN157" s="6">
        <f>'Ενεργές συνδέσεις'!AN157</f>
        <v>0</v>
      </c>
      <c r="AO157" s="6">
        <f>'Ενεργές συνδέσεις'!AO157</f>
        <v>0</v>
      </c>
      <c r="AP157" s="167">
        <f t="shared" si="452"/>
        <v>1</v>
      </c>
      <c r="AQ157" s="190">
        <f t="shared" si="453"/>
        <v>0</v>
      </c>
      <c r="AR157" s="206">
        <f t="shared" si="462"/>
        <v>0</v>
      </c>
      <c r="AS157" s="6">
        <f>'Ενεργές συνδέσεις'!AS157</f>
        <v>0</v>
      </c>
      <c r="AT157" s="6">
        <f>'Ενεργές συνδέσεις'!AT157</f>
        <v>0</v>
      </c>
      <c r="AU157" s="167">
        <f t="shared" si="454"/>
        <v>1</v>
      </c>
      <c r="AV157" s="190">
        <f t="shared" si="455"/>
        <v>0</v>
      </c>
      <c r="AW157" s="198">
        <f t="shared" si="456"/>
        <v>1</v>
      </c>
      <c r="AX157" s="199">
        <f t="shared" si="457"/>
        <v>0</v>
      </c>
    </row>
    <row r="158" spans="1:50" outlineLevel="1" x14ac:dyDescent="0.25">
      <c r="B158" s="52" t="s">
        <v>288</v>
      </c>
      <c r="C158" s="64" t="s">
        <v>22</v>
      </c>
      <c r="D158" s="71"/>
      <c r="E158" s="72"/>
      <c r="F158" s="71"/>
      <c r="G158" s="167">
        <f t="shared" si="436"/>
        <v>0</v>
      </c>
      <c r="H158" s="203">
        <f t="shared" si="437"/>
        <v>0</v>
      </c>
      <c r="I158" s="71"/>
      <c r="J158" s="167">
        <f t="shared" si="438"/>
        <v>0</v>
      </c>
      <c r="K158" s="203">
        <f t="shared" si="439"/>
        <v>0</v>
      </c>
      <c r="L158" s="71"/>
      <c r="M158" s="167">
        <f t="shared" si="440"/>
        <v>0</v>
      </c>
      <c r="N158" s="203">
        <f t="shared" si="441"/>
        <v>0</v>
      </c>
      <c r="O158" s="71"/>
      <c r="P158" s="33"/>
      <c r="Q158" s="157"/>
      <c r="R158" s="71"/>
      <c r="S158" s="167">
        <f t="shared" si="442"/>
        <v>0</v>
      </c>
      <c r="T158" s="203">
        <f t="shared" si="443"/>
        <v>0</v>
      </c>
      <c r="U158" s="198">
        <f t="shared" si="444"/>
        <v>0</v>
      </c>
      <c r="V158" s="199">
        <f t="shared" si="445"/>
        <v>0</v>
      </c>
      <c r="X158" s="206">
        <f t="shared" si="458"/>
        <v>1</v>
      </c>
      <c r="Y158" s="6">
        <f>'Ενεργές συνδέσεις'!Y158</f>
        <v>1</v>
      </c>
      <c r="Z158" s="6">
        <f>'Ενεργές συνδέσεις'!Z158</f>
        <v>0</v>
      </c>
      <c r="AA158" s="167">
        <f t="shared" si="446"/>
        <v>1</v>
      </c>
      <c r="AB158" s="203">
        <f t="shared" si="447"/>
        <v>0</v>
      </c>
      <c r="AC158" s="206">
        <f t="shared" si="459"/>
        <v>0</v>
      </c>
      <c r="AD158" s="6">
        <f>'Ενεργές συνδέσεις'!AD158</f>
        <v>0</v>
      </c>
      <c r="AE158" s="6">
        <f>'Ενεργές συνδέσεις'!AE158</f>
        <v>0</v>
      </c>
      <c r="AF158" s="167">
        <f t="shared" si="448"/>
        <v>1</v>
      </c>
      <c r="AG158" s="190">
        <f t="shared" si="449"/>
        <v>0</v>
      </c>
      <c r="AH158" s="206">
        <f t="shared" si="460"/>
        <v>0</v>
      </c>
      <c r="AI158" s="6">
        <f>'Ενεργές συνδέσεις'!AI158</f>
        <v>0</v>
      </c>
      <c r="AJ158" s="6">
        <f>'Ενεργές συνδέσεις'!AJ158</f>
        <v>0</v>
      </c>
      <c r="AK158" s="167">
        <f t="shared" si="450"/>
        <v>1</v>
      </c>
      <c r="AL158" s="190">
        <f t="shared" si="451"/>
        <v>0</v>
      </c>
      <c r="AM158" s="206">
        <f t="shared" si="461"/>
        <v>0</v>
      </c>
      <c r="AN158" s="6">
        <f>'Ενεργές συνδέσεις'!AN158</f>
        <v>0</v>
      </c>
      <c r="AO158" s="6">
        <f>'Ενεργές συνδέσεις'!AO158</f>
        <v>0</v>
      </c>
      <c r="AP158" s="167">
        <f t="shared" si="452"/>
        <v>1</v>
      </c>
      <c r="AQ158" s="190">
        <f t="shared" si="453"/>
        <v>0</v>
      </c>
      <c r="AR158" s="206">
        <f t="shared" si="462"/>
        <v>0</v>
      </c>
      <c r="AS158" s="6">
        <f>'Ενεργές συνδέσεις'!AS158</f>
        <v>0</v>
      </c>
      <c r="AT158" s="6">
        <f>'Ενεργές συνδέσεις'!AT158</f>
        <v>0</v>
      </c>
      <c r="AU158" s="167">
        <f t="shared" si="454"/>
        <v>1</v>
      </c>
      <c r="AV158" s="190">
        <f t="shared" si="455"/>
        <v>0</v>
      </c>
      <c r="AW158" s="198">
        <f t="shared" si="456"/>
        <v>1</v>
      </c>
      <c r="AX158" s="199">
        <f t="shared" si="457"/>
        <v>0</v>
      </c>
    </row>
    <row r="159" spans="1:50" ht="16.5" customHeight="1" outlineLevel="1" x14ac:dyDescent="0.25">
      <c r="B159" s="52" t="s">
        <v>289</v>
      </c>
      <c r="C159" s="64" t="s">
        <v>22</v>
      </c>
      <c r="D159" s="71"/>
      <c r="E159" s="72"/>
      <c r="F159" s="71"/>
      <c r="G159" s="167">
        <f t="shared" si="436"/>
        <v>0</v>
      </c>
      <c r="H159" s="203">
        <f t="shared" si="437"/>
        <v>0</v>
      </c>
      <c r="I159" s="71"/>
      <c r="J159" s="167">
        <f t="shared" si="438"/>
        <v>0</v>
      </c>
      <c r="K159" s="203">
        <f t="shared" si="439"/>
        <v>0</v>
      </c>
      <c r="L159" s="71"/>
      <c r="M159" s="167">
        <f t="shared" si="440"/>
        <v>0</v>
      </c>
      <c r="N159" s="203">
        <f t="shared" si="441"/>
        <v>0</v>
      </c>
      <c r="O159" s="71"/>
      <c r="P159" s="33"/>
      <c r="Q159" s="157"/>
      <c r="R159" s="71"/>
      <c r="S159" s="167">
        <f t="shared" si="442"/>
        <v>0</v>
      </c>
      <c r="T159" s="203">
        <f t="shared" si="443"/>
        <v>0</v>
      </c>
      <c r="U159" s="198">
        <f t="shared" si="444"/>
        <v>0</v>
      </c>
      <c r="V159" s="199">
        <f t="shared" si="445"/>
        <v>0</v>
      </c>
      <c r="X159" s="206">
        <f t="shared" si="458"/>
        <v>1</v>
      </c>
      <c r="Y159" s="6">
        <f>'Ενεργές συνδέσεις'!Y159</f>
        <v>1</v>
      </c>
      <c r="Z159" s="6">
        <f>'Ενεργές συνδέσεις'!Z159</f>
        <v>0</v>
      </c>
      <c r="AA159" s="167">
        <f t="shared" si="446"/>
        <v>1</v>
      </c>
      <c r="AB159" s="203">
        <f t="shared" si="447"/>
        <v>0</v>
      </c>
      <c r="AC159" s="206">
        <f t="shared" si="459"/>
        <v>1</v>
      </c>
      <c r="AD159" s="6">
        <f>'Ενεργές συνδέσεις'!AD159</f>
        <v>1</v>
      </c>
      <c r="AE159" s="6">
        <f>'Ενεργές συνδέσεις'!AE159</f>
        <v>0</v>
      </c>
      <c r="AF159" s="167">
        <f t="shared" si="448"/>
        <v>2</v>
      </c>
      <c r="AG159" s="190">
        <f t="shared" si="449"/>
        <v>1</v>
      </c>
      <c r="AH159" s="206">
        <f t="shared" si="460"/>
        <v>0</v>
      </c>
      <c r="AI159" s="6">
        <f>'Ενεργές συνδέσεις'!AI159</f>
        <v>0</v>
      </c>
      <c r="AJ159" s="6">
        <f>'Ενεργές συνδέσεις'!AJ159</f>
        <v>0</v>
      </c>
      <c r="AK159" s="167">
        <f t="shared" si="450"/>
        <v>2</v>
      </c>
      <c r="AL159" s="190">
        <f t="shared" si="451"/>
        <v>0</v>
      </c>
      <c r="AM159" s="206">
        <f t="shared" si="461"/>
        <v>0</v>
      </c>
      <c r="AN159" s="6">
        <f>'Ενεργές συνδέσεις'!AN159</f>
        <v>0</v>
      </c>
      <c r="AO159" s="6">
        <f>'Ενεργές συνδέσεις'!AO159</f>
        <v>0</v>
      </c>
      <c r="AP159" s="167">
        <f t="shared" si="452"/>
        <v>2</v>
      </c>
      <c r="AQ159" s="190">
        <f t="shared" si="453"/>
        <v>0</v>
      </c>
      <c r="AR159" s="206">
        <f t="shared" si="462"/>
        <v>0</v>
      </c>
      <c r="AS159" s="6">
        <f>'Ενεργές συνδέσεις'!AS159</f>
        <v>0</v>
      </c>
      <c r="AT159" s="6">
        <f>'Ενεργές συνδέσεις'!AT159</f>
        <v>0</v>
      </c>
      <c r="AU159" s="167">
        <f t="shared" si="454"/>
        <v>2</v>
      </c>
      <c r="AV159" s="190">
        <f t="shared" si="455"/>
        <v>0</v>
      </c>
      <c r="AW159" s="198">
        <f t="shared" si="456"/>
        <v>2</v>
      </c>
      <c r="AX159" s="199">
        <f t="shared" si="457"/>
        <v>0.18920711500272103</v>
      </c>
    </row>
    <row r="160" spans="1:50" ht="16.5" customHeight="1" outlineLevel="1" x14ac:dyDescent="0.25">
      <c r="B160" s="52" t="s">
        <v>290</v>
      </c>
      <c r="C160" s="64" t="s">
        <v>22</v>
      </c>
      <c r="D160" s="71"/>
      <c r="E160" s="72"/>
      <c r="F160" s="71"/>
      <c r="G160" s="167">
        <f t="shared" si="436"/>
        <v>0</v>
      </c>
      <c r="H160" s="203">
        <f t="shared" si="437"/>
        <v>0</v>
      </c>
      <c r="I160" s="71"/>
      <c r="J160" s="167">
        <f t="shared" si="438"/>
        <v>0</v>
      </c>
      <c r="K160" s="203">
        <f t="shared" si="439"/>
        <v>0</v>
      </c>
      <c r="L160" s="71"/>
      <c r="M160" s="167">
        <f t="shared" si="440"/>
        <v>0</v>
      </c>
      <c r="N160" s="203">
        <f t="shared" si="441"/>
        <v>0</v>
      </c>
      <c r="O160" s="71"/>
      <c r="P160" s="33"/>
      <c r="Q160" s="157"/>
      <c r="R160" s="71"/>
      <c r="S160" s="167">
        <f t="shared" si="442"/>
        <v>0</v>
      </c>
      <c r="T160" s="203">
        <f t="shared" si="443"/>
        <v>0</v>
      </c>
      <c r="U160" s="198">
        <f t="shared" si="444"/>
        <v>0</v>
      </c>
      <c r="V160" s="199">
        <f t="shared" si="445"/>
        <v>0</v>
      </c>
      <c r="X160" s="206">
        <f t="shared" si="458"/>
        <v>1</v>
      </c>
      <c r="Y160" s="6">
        <f>'Ενεργές συνδέσεις'!Y160</f>
        <v>1</v>
      </c>
      <c r="Z160" s="6">
        <f>'Ενεργές συνδέσεις'!Z160</f>
        <v>0</v>
      </c>
      <c r="AA160" s="167">
        <f t="shared" si="446"/>
        <v>1</v>
      </c>
      <c r="AB160" s="203">
        <f t="shared" si="447"/>
        <v>0</v>
      </c>
      <c r="AC160" s="206">
        <f t="shared" si="459"/>
        <v>1</v>
      </c>
      <c r="AD160" s="6">
        <f>'Ενεργές συνδέσεις'!AD160</f>
        <v>1</v>
      </c>
      <c r="AE160" s="6">
        <f>'Ενεργές συνδέσεις'!AE160</f>
        <v>0</v>
      </c>
      <c r="AF160" s="167">
        <f t="shared" si="448"/>
        <v>2</v>
      </c>
      <c r="AG160" s="190">
        <f t="shared" si="449"/>
        <v>1</v>
      </c>
      <c r="AH160" s="206">
        <f t="shared" si="460"/>
        <v>0</v>
      </c>
      <c r="AI160" s="6">
        <f>'Ενεργές συνδέσεις'!AI160</f>
        <v>0</v>
      </c>
      <c r="AJ160" s="6">
        <f>'Ενεργές συνδέσεις'!AJ160</f>
        <v>0</v>
      </c>
      <c r="AK160" s="167">
        <f t="shared" si="450"/>
        <v>2</v>
      </c>
      <c r="AL160" s="190">
        <f t="shared" si="451"/>
        <v>0</v>
      </c>
      <c r="AM160" s="206">
        <f t="shared" si="461"/>
        <v>0</v>
      </c>
      <c r="AN160" s="6">
        <f>'Ενεργές συνδέσεις'!AN160</f>
        <v>0</v>
      </c>
      <c r="AO160" s="6">
        <f>'Ενεργές συνδέσεις'!AO160</f>
        <v>0</v>
      </c>
      <c r="AP160" s="167">
        <f t="shared" si="452"/>
        <v>2</v>
      </c>
      <c r="AQ160" s="190">
        <f t="shared" si="453"/>
        <v>0</v>
      </c>
      <c r="AR160" s="206">
        <f t="shared" si="462"/>
        <v>0</v>
      </c>
      <c r="AS160" s="6">
        <f>'Ενεργές συνδέσεις'!AS160</f>
        <v>0</v>
      </c>
      <c r="AT160" s="6">
        <f>'Ενεργές συνδέσεις'!AT160</f>
        <v>0</v>
      </c>
      <c r="AU160" s="167">
        <f t="shared" si="454"/>
        <v>2</v>
      </c>
      <c r="AV160" s="190">
        <f t="shared" si="455"/>
        <v>0</v>
      </c>
      <c r="AW160" s="198">
        <f t="shared" si="456"/>
        <v>2</v>
      </c>
      <c r="AX160" s="199">
        <f t="shared" si="457"/>
        <v>0.18920711500272103</v>
      </c>
    </row>
    <row r="161" spans="2:50" ht="16.5" customHeight="1" outlineLevel="1" x14ac:dyDescent="0.25">
      <c r="B161" s="52" t="s">
        <v>291</v>
      </c>
      <c r="C161" s="64" t="s">
        <v>22</v>
      </c>
      <c r="D161" s="71"/>
      <c r="E161" s="72"/>
      <c r="F161" s="71"/>
      <c r="G161" s="167">
        <f t="shared" si="436"/>
        <v>0</v>
      </c>
      <c r="H161" s="203">
        <f t="shared" si="437"/>
        <v>0</v>
      </c>
      <c r="I161" s="71"/>
      <c r="J161" s="167">
        <f t="shared" si="438"/>
        <v>0</v>
      </c>
      <c r="K161" s="203">
        <f t="shared" si="439"/>
        <v>0</v>
      </c>
      <c r="L161" s="71"/>
      <c r="M161" s="167">
        <f t="shared" si="440"/>
        <v>0</v>
      </c>
      <c r="N161" s="203">
        <f t="shared" si="441"/>
        <v>0</v>
      </c>
      <c r="O161" s="71"/>
      <c r="P161" s="33"/>
      <c r="Q161" s="157"/>
      <c r="R161" s="71"/>
      <c r="S161" s="167">
        <f t="shared" si="442"/>
        <v>0</v>
      </c>
      <c r="T161" s="203">
        <f t="shared" si="443"/>
        <v>0</v>
      </c>
      <c r="U161" s="198">
        <f t="shared" si="444"/>
        <v>0</v>
      </c>
      <c r="V161" s="199">
        <f t="shared" si="445"/>
        <v>0</v>
      </c>
      <c r="X161" s="206">
        <f t="shared" si="458"/>
        <v>1</v>
      </c>
      <c r="Y161" s="6">
        <f>'Ενεργές συνδέσεις'!Y161</f>
        <v>1</v>
      </c>
      <c r="Z161" s="6">
        <f>'Ενεργές συνδέσεις'!Z161</f>
        <v>0</v>
      </c>
      <c r="AA161" s="167">
        <f t="shared" si="446"/>
        <v>1</v>
      </c>
      <c r="AB161" s="203">
        <f t="shared" si="447"/>
        <v>0</v>
      </c>
      <c r="AC161" s="206">
        <f t="shared" si="459"/>
        <v>0</v>
      </c>
      <c r="AD161" s="6">
        <f>'Ενεργές συνδέσεις'!AD161</f>
        <v>0</v>
      </c>
      <c r="AE161" s="6">
        <f>'Ενεργές συνδέσεις'!AE161</f>
        <v>0</v>
      </c>
      <c r="AF161" s="167">
        <f t="shared" si="448"/>
        <v>1</v>
      </c>
      <c r="AG161" s="190">
        <f t="shared" si="449"/>
        <v>0</v>
      </c>
      <c r="AH161" s="206">
        <f t="shared" si="460"/>
        <v>0</v>
      </c>
      <c r="AI161" s="6">
        <f>'Ενεργές συνδέσεις'!AI161</f>
        <v>0</v>
      </c>
      <c r="AJ161" s="6">
        <f>'Ενεργές συνδέσεις'!AJ161</f>
        <v>0</v>
      </c>
      <c r="AK161" s="167">
        <f t="shared" si="450"/>
        <v>1</v>
      </c>
      <c r="AL161" s="190">
        <f t="shared" si="451"/>
        <v>0</v>
      </c>
      <c r="AM161" s="206">
        <f t="shared" si="461"/>
        <v>0</v>
      </c>
      <c r="AN161" s="6">
        <f>'Ενεργές συνδέσεις'!AN161</f>
        <v>0</v>
      </c>
      <c r="AO161" s="6">
        <f>'Ενεργές συνδέσεις'!AO161</f>
        <v>0</v>
      </c>
      <c r="AP161" s="167">
        <f t="shared" si="452"/>
        <v>1</v>
      </c>
      <c r="AQ161" s="190">
        <f t="shared" si="453"/>
        <v>0</v>
      </c>
      <c r="AR161" s="206">
        <f t="shared" si="462"/>
        <v>0</v>
      </c>
      <c r="AS161" s="6">
        <f>'Ενεργές συνδέσεις'!AS161</f>
        <v>0</v>
      </c>
      <c r="AT161" s="6">
        <f>'Ενεργές συνδέσεις'!AT161</f>
        <v>0</v>
      </c>
      <c r="AU161" s="167">
        <f t="shared" si="454"/>
        <v>1</v>
      </c>
      <c r="AV161" s="190">
        <f t="shared" si="455"/>
        <v>0</v>
      </c>
      <c r="AW161" s="198">
        <f t="shared" si="456"/>
        <v>1</v>
      </c>
      <c r="AX161" s="199">
        <f t="shared" si="457"/>
        <v>0</v>
      </c>
    </row>
    <row r="162" spans="2:50" ht="16.5" customHeight="1" outlineLevel="1" x14ac:dyDescent="0.25">
      <c r="B162" s="52" t="s">
        <v>307</v>
      </c>
      <c r="C162" s="64"/>
      <c r="D162" s="71"/>
      <c r="E162" s="72"/>
      <c r="F162" s="71"/>
      <c r="G162" s="167"/>
      <c r="H162" s="203">
        <f t="shared" si="437"/>
        <v>0</v>
      </c>
      <c r="I162" s="71"/>
      <c r="J162" s="167"/>
      <c r="K162" s="203">
        <f t="shared" si="439"/>
        <v>0</v>
      </c>
      <c r="L162" s="71"/>
      <c r="M162" s="167"/>
      <c r="N162" s="203">
        <f t="shared" si="441"/>
        <v>0</v>
      </c>
      <c r="O162" s="71"/>
      <c r="P162" s="33"/>
      <c r="Q162" s="157"/>
      <c r="R162" s="71"/>
      <c r="S162" s="167"/>
      <c r="T162" s="203">
        <f t="shared" si="443"/>
        <v>0</v>
      </c>
      <c r="U162" s="198">
        <f t="shared" si="444"/>
        <v>0</v>
      </c>
      <c r="V162" s="199">
        <f t="shared" si="445"/>
        <v>0</v>
      </c>
      <c r="X162" s="206">
        <f t="shared" ref="X162:X166" si="463">Y162+Z162</f>
        <v>0</v>
      </c>
      <c r="Y162" s="6">
        <f>'Ενεργές συνδέσεις'!Y162</f>
        <v>0</v>
      </c>
      <c r="Z162" s="6">
        <f>'Ενεργές συνδέσεις'!Z162</f>
        <v>0</v>
      </c>
      <c r="AA162" s="167">
        <f t="shared" ref="AA162:AA166" si="464">S162+X162</f>
        <v>0</v>
      </c>
      <c r="AB162" s="203">
        <f t="shared" ref="AB162:AB166" si="465">IFERROR((AA162-S162)/S162,0)</f>
        <v>0</v>
      </c>
      <c r="AC162" s="206">
        <f t="shared" ref="AC162:AC166" si="466">AD162+AE162</f>
        <v>0</v>
      </c>
      <c r="AD162" s="6">
        <f>'Ενεργές συνδέσεις'!AD162</f>
        <v>0</v>
      </c>
      <c r="AE162" s="6">
        <f>'Ενεργές συνδέσεις'!AE162</f>
        <v>0</v>
      </c>
      <c r="AF162" s="167">
        <f t="shared" ref="AF162:AF166" si="467">AA162+AC162</f>
        <v>0</v>
      </c>
      <c r="AG162" s="190">
        <f t="shared" ref="AG162:AG166" si="468">IFERROR((AF162-AA162)/AA162,0)</f>
        <v>0</v>
      </c>
      <c r="AH162" s="206">
        <f t="shared" ref="AH162:AH166" si="469">AI162+AJ162</f>
        <v>0</v>
      </c>
      <c r="AI162" s="6">
        <f>'Ενεργές συνδέσεις'!AI162</f>
        <v>0</v>
      </c>
      <c r="AJ162" s="6">
        <f>'Ενεργές συνδέσεις'!AJ162</f>
        <v>0</v>
      </c>
      <c r="AK162" s="167">
        <f t="shared" ref="AK162:AK166" si="470">AF162+AH162</f>
        <v>0</v>
      </c>
      <c r="AL162" s="190">
        <f t="shared" ref="AL162:AL166" si="471">IFERROR((AK162-AF162)/AF162,0)</f>
        <v>0</v>
      </c>
      <c r="AM162" s="206">
        <f t="shared" ref="AM162:AM166" si="472">AN162+AO162</f>
        <v>0</v>
      </c>
      <c r="AN162" s="6">
        <f>'Ενεργές συνδέσεις'!AN162</f>
        <v>0</v>
      </c>
      <c r="AO162" s="6">
        <f>'Ενεργές συνδέσεις'!AO162</f>
        <v>0</v>
      </c>
      <c r="AP162" s="167">
        <f t="shared" ref="AP162:AP166" si="473">AK162+AM162</f>
        <v>0</v>
      </c>
      <c r="AQ162" s="190">
        <f t="shared" ref="AQ162:AQ166" si="474">IFERROR((AP162-AK162)/AK162,0)</f>
        <v>0</v>
      </c>
      <c r="AR162" s="206">
        <f t="shared" ref="AR162:AR166" si="475">AS162+AT162</f>
        <v>0</v>
      </c>
      <c r="AS162" s="6">
        <f>'Ενεργές συνδέσεις'!AS162</f>
        <v>0</v>
      </c>
      <c r="AT162" s="6">
        <f>'Ενεργές συνδέσεις'!AT162</f>
        <v>0</v>
      </c>
      <c r="AU162" s="167">
        <f t="shared" ref="AU162:AU166" si="476">AP162+AR162</f>
        <v>0</v>
      </c>
      <c r="AV162" s="190">
        <f t="shared" ref="AV162:AV166" si="477">IFERROR((AU162-AP162)/AP162,0)</f>
        <v>0</v>
      </c>
      <c r="AW162" s="198">
        <f t="shared" ref="AW162:AW166" si="478">X162+AC162+AH162+AM162+AR162</f>
        <v>0</v>
      </c>
      <c r="AX162" s="199">
        <f t="shared" si="457"/>
        <v>0</v>
      </c>
    </row>
    <row r="163" spans="2:50" ht="16.5" customHeight="1" outlineLevel="1" x14ac:dyDescent="0.25">
      <c r="B163" s="52" t="s">
        <v>304</v>
      </c>
      <c r="C163" s="64"/>
      <c r="D163" s="71"/>
      <c r="E163" s="72"/>
      <c r="F163" s="71"/>
      <c r="G163" s="167"/>
      <c r="H163" s="203">
        <f t="shared" si="437"/>
        <v>0</v>
      </c>
      <c r="I163" s="71"/>
      <c r="J163" s="167"/>
      <c r="K163" s="203">
        <f t="shared" si="439"/>
        <v>0</v>
      </c>
      <c r="L163" s="71"/>
      <c r="M163" s="167"/>
      <c r="N163" s="203">
        <f t="shared" si="441"/>
        <v>0</v>
      </c>
      <c r="O163" s="71"/>
      <c r="P163" s="33"/>
      <c r="Q163" s="157"/>
      <c r="R163" s="71"/>
      <c r="S163" s="167"/>
      <c r="T163" s="203">
        <f t="shared" si="443"/>
        <v>0</v>
      </c>
      <c r="U163" s="198">
        <f t="shared" si="444"/>
        <v>0</v>
      </c>
      <c r="V163" s="199">
        <f t="shared" si="445"/>
        <v>0</v>
      </c>
      <c r="X163" s="206">
        <f t="shared" si="463"/>
        <v>0</v>
      </c>
      <c r="Y163" s="6">
        <f>'Ενεργές συνδέσεις'!Y163</f>
        <v>0</v>
      </c>
      <c r="Z163" s="6">
        <f>'Ενεργές συνδέσεις'!Z163</f>
        <v>0</v>
      </c>
      <c r="AA163" s="167">
        <f t="shared" si="464"/>
        <v>0</v>
      </c>
      <c r="AB163" s="203">
        <f t="shared" si="465"/>
        <v>0</v>
      </c>
      <c r="AC163" s="206">
        <f t="shared" si="466"/>
        <v>0</v>
      </c>
      <c r="AD163" s="6">
        <f>'Ενεργές συνδέσεις'!AD163</f>
        <v>0</v>
      </c>
      <c r="AE163" s="6">
        <f>'Ενεργές συνδέσεις'!AE163</f>
        <v>0</v>
      </c>
      <c r="AF163" s="167">
        <f t="shared" si="467"/>
        <v>0</v>
      </c>
      <c r="AG163" s="190">
        <f t="shared" si="468"/>
        <v>0</v>
      </c>
      <c r="AH163" s="206">
        <f t="shared" si="469"/>
        <v>0</v>
      </c>
      <c r="AI163" s="6">
        <f>'Ενεργές συνδέσεις'!AI163</f>
        <v>0</v>
      </c>
      <c r="AJ163" s="6">
        <f>'Ενεργές συνδέσεις'!AJ163</f>
        <v>0</v>
      </c>
      <c r="AK163" s="167">
        <f t="shared" si="470"/>
        <v>0</v>
      </c>
      <c r="AL163" s="190">
        <f t="shared" si="471"/>
        <v>0</v>
      </c>
      <c r="AM163" s="206">
        <f t="shared" si="472"/>
        <v>0</v>
      </c>
      <c r="AN163" s="6">
        <f>'Ενεργές συνδέσεις'!AN163</f>
        <v>0</v>
      </c>
      <c r="AO163" s="6">
        <f>'Ενεργές συνδέσεις'!AO163</f>
        <v>0</v>
      </c>
      <c r="AP163" s="167">
        <f t="shared" si="473"/>
        <v>0</v>
      </c>
      <c r="AQ163" s="190">
        <f t="shared" si="474"/>
        <v>0</v>
      </c>
      <c r="AR163" s="206">
        <f t="shared" si="475"/>
        <v>0</v>
      </c>
      <c r="AS163" s="6">
        <f>'Ενεργές συνδέσεις'!AS163</f>
        <v>0</v>
      </c>
      <c r="AT163" s="6">
        <f>'Ενεργές συνδέσεις'!AT163</f>
        <v>0</v>
      </c>
      <c r="AU163" s="167">
        <f t="shared" si="476"/>
        <v>0</v>
      </c>
      <c r="AV163" s="190">
        <f t="shared" si="477"/>
        <v>0</v>
      </c>
      <c r="AW163" s="198">
        <f t="shared" si="478"/>
        <v>0</v>
      </c>
      <c r="AX163" s="199">
        <f t="shared" si="457"/>
        <v>0</v>
      </c>
    </row>
    <row r="164" spans="2:50" ht="16.5" customHeight="1" outlineLevel="1" x14ac:dyDescent="0.25">
      <c r="B164" s="52" t="s">
        <v>305</v>
      </c>
      <c r="C164" s="64"/>
      <c r="D164" s="71"/>
      <c r="E164" s="72"/>
      <c r="F164" s="71"/>
      <c r="G164" s="167"/>
      <c r="H164" s="203">
        <f t="shared" si="437"/>
        <v>0</v>
      </c>
      <c r="I164" s="71"/>
      <c r="J164" s="167"/>
      <c r="K164" s="203">
        <f t="shared" si="439"/>
        <v>0</v>
      </c>
      <c r="L164" s="71"/>
      <c r="M164" s="167"/>
      <c r="N164" s="203">
        <f t="shared" si="441"/>
        <v>0</v>
      </c>
      <c r="O164" s="71"/>
      <c r="P164" s="33"/>
      <c r="Q164" s="157"/>
      <c r="R164" s="71"/>
      <c r="S164" s="167"/>
      <c r="T164" s="203">
        <f t="shared" si="443"/>
        <v>0</v>
      </c>
      <c r="U164" s="198">
        <f t="shared" si="444"/>
        <v>0</v>
      </c>
      <c r="V164" s="199">
        <f t="shared" si="445"/>
        <v>0</v>
      </c>
      <c r="X164" s="206">
        <f t="shared" si="463"/>
        <v>0</v>
      </c>
      <c r="Y164" s="6">
        <f>'Ενεργές συνδέσεις'!Y164</f>
        <v>0</v>
      </c>
      <c r="Z164" s="6">
        <f>'Ενεργές συνδέσεις'!Z164</f>
        <v>0</v>
      </c>
      <c r="AA164" s="167">
        <f t="shared" si="464"/>
        <v>0</v>
      </c>
      <c r="AB164" s="203">
        <f t="shared" si="465"/>
        <v>0</v>
      </c>
      <c r="AC164" s="206">
        <f t="shared" si="466"/>
        <v>0</v>
      </c>
      <c r="AD164" s="6">
        <f>'Ενεργές συνδέσεις'!AD164</f>
        <v>0</v>
      </c>
      <c r="AE164" s="6">
        <f>'Ενεργές συνδέσεις'!AE164</f>
        <v>0</v>
      </c>
      <c r="AF164" s="167">
        <f t="shared" si="467"/>
        <v>0</v>
      </c>
      <c r="AG164" s="190">
        <f t="shared" si="468"/>
        <v>0</v>
      </c>
      <c r="AH164" s="206">
        <f t="shared" si="469"/>
        <v>0</v>
      </c>
      <c r="AI164" s="6">
        <f>'Ενεργές συνδέσεις'!AI164</f>
        <v>0</v>
      </c>
      <c r="AJ164" s="6">
        <f>'Ενεργές συνδέσεις'!AJ164</f>
        <v>0</v>
      </c>
      <c r="AK164" s="167">
        <f t="shared" si="470"/>
        <v>0</v>
      </c>
      <c r="AL164" s="190">
        <f t="shared" si="471"/>
        <v>0</v>
      </c>
      <c r="AM164" s="206">
        <f t="shared" si="472"/>
        <v>0</v>
      </c>
      <c r="AN164" s="6">
        <f>'Ενεργές συνδέσεις'!AN164</f>
        <v>0</v>
      </c>
      <c r="AO164" s="6">
        <f>'Ενεργές συνδέσεις'!AO164</f>
        <v>0</v>
      </c>
      <c r="AP164" s="167">
        <f t="shared" si="473"/>
        <v>0</v>
      </c>
      <c r="AQ164" s="190">
        <f t="shared" si="474"/>
        <v>0</v>
      </c>
      <c r="AR164" s="206">
        <f t="shared" si="475"/>
        <v>0</v>
      </c>
      <c r="AS164" s="6">
        <f>'Ενεργές συνδέσεις'!AS164</f>
        <v>0</v>
      </c>
      <c r="AT164" s="6">
        <f>'Ενεργές συνδέσεις'!AT164</f>
        <v>0</v>
      </c>
      <c r="AU164" s="167">
        <f t="shared" si="476"/>
        <v>0</v>
      </c>
      <c r="AV164" s="190">
        <f t="shared" si="477"/>
        <v>0</v>
      </c>
      <c r="AW164" s="198">
        <f t="shared" si="478"/>
        <v>0</v>
      </c>
      <c r="AX164" s="199">
        <f t="shared" si="457"/>
        <v>0</v>
      </c>
    </row>
    <row r="165" spans="2:50" ht="16.5" customHeight="1" outlineLevel="1" x14ac:dyDescent="0.25">
      <c r="B165" s="52" t="s">
        <v>306</v>
      </c>
      <c r="C165" s="64"/>
      <c r="D165" s="71"/>
      <c r="E165" s="72"/>
      <c r="F165" s="71"/>
      <c r="G165" s="167"/>
      <c r="H165" s="203">
        <f t="shared" si="437"/>
        <v>0</v>
      </c>
      <c r="I165" s="71"/>
      <c r="J165" s="167"/>
      <c r="K165" s="203">
        <f t="shared" si="439"/>
        <v>0</v>
      </c>
      <c r="L165" s="71"/>
      <c r="M165" s="167"/>
      <c r="N165" s="203">
        <f t="shared" si="441"/>
        <v>0</v>
      </c>
      <c r="O165" s="71"/>
      <c r="P165" s="33"/>
      <c r="Q165" s="157"/>
      <c r="R165" s="71"/>
      <c r="S165" s="167"/>
      <c r="T165" s="203">
        <f t="shared" si="443"/>
        <v>0</v>
      </c>
      <c r="U165" s="198">
        <f t="shared" si="444"/>
        <v>0</v>
      </c>
      <c r="V165" s="199">
        <f t="shared" si="445"/>
        <v>0</v>
      </c>
      <c r="X165" s="206">
        <f t="shared" si="463"/>
        <v>0</v>
      </c>
      <c r="Y165" s="6">
        <f>'Ενεργές συνδέσεις'!Y165</f>
        <v>0</v>
      </c>
      <c r="Z165" s="6">
        <f>'Ενεργές συνδέσεις'!Z165</f>
        <v>0</v>
      </c>
      <c r="AA165" s="167">
        <f t="shared" si="464"/>
        <v>0</v>
      </c>
      <c r="AB165" s="203">
        <f t="shared" si="465"/>
        <v>0</v>
      </c>
      <c r="AC165" s="206">
        <f t="shared" si="466"/>
        <v>0</v>
      </c>
      <c r="AD165" s="6">
        <f>'Ενεργές συνδέσεις'!AD165</f>
        <v>0</v>
      </c>
      <c r="AE165" s="6">
        <f>'Ενεργές συνδέσεις'!AE165</f>
        <v>0</v>
      </c>
      <c r="AF165" s="167">
        <f t="shared" si="467"/>
        <v>0</v>
      </c>
      <c r="AG165" s="190">
        <f t="shared" si="468"/>
        <v>0</v>
      </c>
      <c r="AH165" s="206">
        <f t="shared" si="469"/>
        <v>0</v>
      </c>
      <c r="AI165" s="6">
        <f>'Ενεργές συνδέσεις'!AI165</f>
        <v>0</v>
      </c>
      <c r="AJ165" s="6">
        <f>'Ενεργές συνδέσεις'!AJ165</f>
        <v>0</v>
      </c>
      <c r="AK165" s="167">
        <f t="shared" si="470"/>
        <v>0</v>
      </c>
      <c r="AL165" s="190">
        <f t="shared" si="471"/>
        <v>0</v>
      </c>
      <c r="AM165" s="206">
        <f t="shared" si="472"/>
        <v>0</v>
      </c>
      <c r="AN165" s="6">
        <f>'Ενεργές συνδέσεις'!AN165</f>
        <v>0</v>
      </c>
      <c r="AO165" s="6">
        <f>'Ενεργές συνδέσεις'!AO165</f>
        <v>0</v>
      </c>
      <c r="AP165" s="167">
        <f t="shared" si="473"/>
        <v>0</v>
      </c>
      <c r="AQ165" s="190">
        <f t="shared" si="474"/>
        <v>0</v>
      </c>
      <c r="AR165" s="206">
        <f t="shared" si="475"/>
        <v>0</v>
      </c>
      <c r="AS165" s="6">
        <f>'Ενεργές συνδέσεις'!AS165</f>
        <v>0</v>
      </c>
      <c r="AT165" s="6">
        <f>'Ενεργές συνδέσεις'!AT165</f>
        <v>0</v>
      </c>
      <c r="AU165" s="167">
        <f t="shared" si="476"/>
        <v>0</v>
      </c>
      <c r="AV165" s="190">
        <f t="shared" si="477"/>
        <v>0</v>
      </c>
      <c r="AW165" s="198">
        <f t="shared" si="478"/>
        <v>0</v>
      </c>
      <c r="AX165" s="199">
        <f t="shared" si="457"/>
        <v>0</v>
      </c>
    </row>
    <row r="166" spans="2:50" ht="16.5" customHeight="1" outlineLevel="1" x14ac:dyDescent="0.25">
      <c r="B166" s="52" t="s">
        <v>308</v>
      </c>
      <c r="C166" s="64"/>
      <c r="D166" s="71"/>
      <c r="E166" s="72"/>
      <c r="F166" s="71"/>
      <c r="G166" s="167"/>
      <c r="H166" s="203">
        <f t="shared" si="437"/>
        <v>0</v>
      </c>
      <c r="I166" s="71"/>
      <c r="J166" s="167"/>
      <c r="K166" s="203">
        <f t="shared" si="439"/>
        <v>0</v>
      </c>
      <c r="L166" s="71"/>
      <c r="M166" s="167"/>
      <c r="N166" s="203">
        <f t="shared" si="441"/>
        <v>0</v>
      </c>
      <c r="O166" s="71"/>
      <c r="P166" s="33"/>
      <c r="Q166" s="157"/>
      <c r="R166" s="71"/>
      <c r="S166" s="167"/>
      <c r="T166" s="203">
        <f t="shared" si="443"/>
        <v>0</v>
      </c>
      <c r="U166" s="198">
        <f t="shared" si="444"/>
        <v>0</v>
      </c>
      <c r="V166" s="199">
        <f t="shared" si="445"/>
        <v>0</v>
      </c>
      <c r="X166" s="206">
        <f t="shared" si="463"/>
        <v>0</v>
      </c>
      <c r="Y166" s="6">
        <f>'Ενεργές συνδέσεις'!Y166</f>
        <v>0</v>
      </c>
      <c r="Z166" s="6">
        <f>'Ενεργές συνδέσεις'!Z166</f>
        <v>0</v>
      </c>
      <c r="AA166" s="167">
        <f t="shared" si="464"/>
        <v>0</v>
      </c>
      <c r="AB166" s="203">
        <f t="shared" si="465"/>
        <v>0</v>
      </c>
      <c r="AC166" s="206">
        <f t="shared" si="466"/>
        <v>0</v>
      </c>
      <c r="AD166" s="6">
        <f>'Ενεργές συνδέσεις'!AD166</f>
        <v>0</v>
      </c>
      <c r="AE166" s="6">
        <f>'Ενεργές συνδέσεις'!AE166</f>
        <v>0</v>
      </c>
      <c r="AF166" s="167">
        <f t="shared" si="467"/>
        <v>0</v>
      </c>
      <c r="AG166" s="190">
        <f t="shared" si="468"/>
        <v>0</v>
      </c>
      <c r="AH166" s="206">
        <f t="shared" si="469"/>
        <v>0</v>
      </c>
      <c r="AI166" s="6">
        <f>'Ενεργές συνδέσεις'!AI166</f>
        <v>0</v>
      </c>
      <c r="AJ166" s="6">
        <f>'Ενεργές συνδέσεις'!AJ166</f>
        <v>0</v>
      </c>
      <c r="AK166" s="167">
        <f t="shared" si="470"/>
        <v>0</v>
      </c>
      <c r="AL166" s="190">
        <f t="shared" si="471"/>
        <v>0</v>
      </c>
      <c r="AM166" s="206">
        <f t="shared" si="472"/>
        <v>0</v>
      </c>
      <c r="AN166" s="6">
        <f>'Ενεργές συνδέσεις'!AN166</f>
        <v>0</v>
      </c>
      <c r="AO166" s="6">
        <f>'Ενεργές συνδέσεις'!AO166</f>
        <v>0</v>
      </c>
      <c r="AP166" s="167">
        <f t="shared" si="473"/>
        <v>0</v>
      </c>
      <c r="AQ166" s="190">
        <f t="shared" si="474"/>
        <v>0</v>
      </c>
      <c r="AR166" s="206">
        <f t="shared" si="475"/>
        <v>0</v>
      </c>
      <c r="AS166" s="6">
        <f>'Ενεργές συνδέσεις'!AS166</f>
        <v>0</v>
      </c>
      <c r="AT166" s="6">
        <f>'Ενεργές συνδέσεις'!AT166</f>
        <v>0</v>
      </c>
      <c r="AU166" s="167">
        <f t="shared" si="476"/>
        <v>0</v>
      </c>
      <c r="AV166" s="190">
        <f t="shared" si="477"/>
        <v>0</v>
      </c>
      <c r="AW166" s="198">
        <f t="shared" si="478"/>
        <v>0</v>
      </c>
      <c r="AX166" s="199">
        <f t="shared" si="457"/>
        <v>0</v>
      </c>
    </row>
    <row r="167" spans="2:50" ht="16.5" customHeight="1" outlineLevel="1" x14ac:dyDescent="0.25">
      <c r="B167" s="52"/>
      <c r="C167" s="64"/>
      <c r="D167" s="71"/>
      <c r="E167" s="72"/>
      <c r="F167" s="71"/>
      <c r="G167" s="167"/>
      <c r="H167" s="203">
        <f t="shared" si="437"/>
        <v>0</v>
      </c>
      <c r="I167" s="71"/>
      <c r="J167" s="167"/>
      <c r="K167" s="203">
        <f t="shared" si="439"/>
        <v>0</v>
      </c>
      <c r="L167" s="71"/>
      <c r="M167" s="167"/>
      <c r="N167" s="203">
        <f t="shared" si="441"/>
        <v>0</v>
      </c>
      <c r="O167" s="71"/>
      <c r="P167" s="33"/>
      <c r="Q167" s="157"/>
      <c r="R167" s="71"/>
      <c r="S167" s="167"/>
      <c r="T167" s="203">
        <f t="shared" si="443"/>
        <v>0</v>
      </c>
      <c r="U167" s="198">
        <f t="shared" si="444"/>
        <v>0</v>
      </c>
      <c r="V167" s="199">
        <f t="shared" si="445"/>
        <v>0</v>
      </c>
      <c r="X167" s="206"/>
      <c r="Y167" s="6"/>
      <c r="Z167" s="6"/>
      <c r="AA167" s="167"/>
      <c r="AB167" s="203">
        <f t="shared" si="447"/>
        <v>0</v>
      </c>
      <c r="AC167" s="206"/>
      <c r="AD167" s="6"/>
      <c r="AE167" s="6"/>
      <c r="AF167" s="167"/>
      <c r="AG167" s="190">
        <f t="shared" si="449"/>
        <v>0</v>
      </c>
      <c r="AH167" s="206"/>
      <c r="AI167" s="6"/>
      <c r="AJ167" s="6"/>
      <c r="AK167" s="167"/>
      <c r="AL167" s="190">
        <f t="shared" si="451"/>
        <v>0</v>
      </c>
      <c r="AM167" s="206"/>
      <c r="AN167" s="6"/>
      <c r="AO167" s="6"/>
      <c r="AP167" s="167"/>
      <c r="AQ167" s="190">
        <f t="shared" si="453"/>
        <v>0</v>
      </c>
      <c r="AR167" s="206"/>
      <c r="AS167" s="6"/>
      <c r="AT167" s="6"/>
      <c r="AU167" s="167"/>
      <c r="AV167" s="190">
        <f t="shared" si="455"/>
        <v>0</v>
      </c>
      <c r="AW167" s="198"/>
      <c r="AX167" s="199">
        <f t="shared" si="457"/>
        <v>0</v>
      </c>
    </row>
    <row r="168" spans="2:50" ht="15" customHeight="1" outlineLevel="1" x14ac:dyDescent="0.25">
      <c r="B168" s="349" t="s">
        <v>90</v>
      </c>
      <c r="C168" s="350"/>
      <c r="D168" s="350"/>
      <c r="E168" s="350"/>
      <c r="F168" s="350"/>
      <c r="G168" s="350"/>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c r="AO168" s="350"/>
      <c r="AP168" s="350"/>
      <c r="AQ168" s="350"/>
      <c r="AR168" s="350"/>
      <c r="AS168" s="350"/>
      <c r="AT168" s="350"/>
      <c r="AU168" s="350"/>
      <c r="AV168" s="350"/>
      <c r="AW168" s="350"/>
      <c r="AX168" s="397"/>
    </row>
    <row r="169" spans="2:50" ht="15" customHeight="1" outlineLevel="1" x14ac:dyDescent="0.25">
      <c r="B169" s="52" t="s">
        <v>82</v>
      </c>
      <c r="C169" s="49" t="s">
        <v>22</v>
      </c>
      <c r="D169" s="207">
        <f>SUM(D153:D167)</f>
        <v>0</v>
      </c>
      <c r="E169" s="208">
        <f>SUM(E153:E167)</f>
        <v>0</v>
      </c>
      <c r="F169" s="207">
        <f>SUM(F153:F167)</f>
        <v>0</v>
      </c>
      <c r="G169" s="172">
        <f>SUM(G153:G167)</f>
        <v>0</v>
      </c>
      <c r="H169" s="202">
        <f>IFERROR((G169-E169)/E169,0)</f>
        <v>0</v>
      </c>
      <c r="I169" s="207">
        <f>SUM(I153:I167)</f>
        <v>0</v>
      </c>
      <c r="J169" s="172">
        <f>SUM(J153:J167)</f>
        <v>0</v>
      </c>
      <c r="K169" s="202">
        <f t="shared" ref="K169" si="479">IFERROR((J169-G169)/G169,0)</f>
        <v>0</v>
      </c>
      <c r="L169" s="207">
        <f>SUM(L153:L167)</f>
        <v>0</v>
      </c>
      <c r="M169" s="172">
        <f>SUM(M153:M167)</f>
        <v>0</v>
      </c>
      <c r="N169" s="202">
        <f t="shared" ref="N169" si="480">IFERROR((M169-J169)/J169,0)</f>
        <v>0</v>
      </c>
      <c r="O169" s="207">
        <f>SUM(O153:O167)</f>
        <v>0</v>
      </c>
      <c r="P169" s="158"/>
      <c r="Q169" s="159"/>
      <c r="R169" s="207">
        <f>SUM(R153:R167)</f>
        <v>0</v>
      </c>
      <c r="S169" s="172">
        <f>SUM(S153:S167)</f>
        <v>0</v>
      </c>
      <c r="T169" s="202">
        <f t="shared" ref="T169" si="481">IFERROR((S169-M169)/M169,0)</f>
        <v>0</v>
      </c>
      <c r="U169" s="198">
        <f>D169+F169+I169+L169+R169</f>
        <v>0</v>
      </c>
      <c r="V169" s="199">
        <f>IFERROR((S169/E169)^(1/4)-1,0)</f>
        <v>0</v>
      </c>
      <c r="X169" s="188">
        <f>SUM(X153:X167)</f>
        <v>4</v>
      </c>
      <c r="Y169" s="187">
        <f>SUM(Y153:Y167)</f>
        <v>4</v>
      </c>
      <c r="Z169" s="187">
        <f>SUM(Z153:Z167)</f>
        <v>0</v>
      </c>
      <c r="AA169" s="187">
        <f>SUM(AA153:AA167)</f>
        <v>4</v>
      </c>
      <c r="AB169" s="202">
        <f>IFERROR((AA169-S169)/S169,0)</f>
        <v>0</v>
      </c>
      <c r="AC169" s="188">
        <f>SUM(AC153:AC167)</f>
        <v>4</v>
      </c>
      <c r="AD169" s="187">
        <f>SUM(AD153:AD167)</f>
        <v>4</v>
      </c>
      <c r="AE169" s="187">
        <f>SUM(AE153:AE167)</f>
        <v>0</v>
      </c>
      <c r="AF169" s="187">
        <f>SUM(AF153:AF167)</f>
        <v>8</v>
      </c>
      <c r="AG169" s="191">
        <f t="shared" ref="AG169" si="482">IFERROR((AF169-AA169)/AA169,0)</f>
        <v>1</v>
      </c>
      <c r="AH169" s="188">
        <f>SUM(AH153:AH167)</f>
        <v>0</v>
      </c>
      <c r="AI169" s="187">
        <f>SUM(AI153:AI167)</f>
        <v>0</v>
      </c>
      <c r="AJ169" s="187">
        <f>SUM(AJ153:AJ167)</f>
        <v>0</v>
      </c>
      <c r="AK169" s="187">
        <f>SUM(AK153:AK167)</f>
        <v>8</v>
      </c>
      <c r="AL169" s="191">
        <f t="shared" ref="AL169" si="483">IFERROR((AK169-AF169)/AF169,0)</f>
        <v>0</v>
      </c>
      <c r="AM169" s="188">
        <f>SUM(AM153:AM167)</f>
        <v>0</v>
      </c>
      <c r="AN169" s="187">
        <f>SUM(AN153:AN167)</f>
        <v>0</v>
      </c>
      <c r="AO169" s="187">
        <f>SUM(AO153:AO167)</f>
        <v>0</v>
      </c>
      <c r="AP169" s="187">
        <f>SUM(AP153:AP167)</f>
        <v>8</v>
      </c>
      <c r="AQ169" s="191">
        <f t="shared" ref="AQ169" si="484">IFERROR((AP169-AK169)/AK169,0)</f>
        <v>0</v>
      </c>
      <c r="AR169" s="188">
        <f>SUM(AR153:AR167)</f>
        <v>0</v>
      </c>
      <c r="AS169" s="187">
        <f>SUM(AS153:AS167)</f>
        <v>0</v>
      </c>
      <c r="AT169" s="187">
        <f>SUM(AT153:AT167)</f>
        <v>0</v>
      </c>
      <c r="AU169" s="187">
        <f>SUM(AU153:AU167)</f>
        <v>8</v>
      </c>
      <c r="AV169" s="191">
        <f t="shared" ref="AV169" si="485">IFERROR((AU169-AP169)/AP169,0)</f>
        <v>0</v>
      </c>
      <c r="AW169" s="188">
        <f>SUM(AW153:AW167)</f>
        <v>8</v>
      </c>
      <c r="AX169" s="199">
        <f t="shared" ref="AX169" si="486">IFERROR((AU169/AA169)^(1/4)-1,0)</f>
        <v>0.18920711500272103</v>
      </c>
    </row>
    <row r="171" spans="2:50" x14ac:dyDescent="0.25">
      <c r="X171" s="17"/>
    </row>
    <row r="172" spans="2:50" ht="15.75" x14ac:dyDescent="0.25">
      <c r="W172" s="115"/>
    </row>
  </sheetData>
  <mergeCells count="143">
    <mergeCell ref="F82:H82"/>
    <mergeCell ref="I82:K82"/>
    <mergeCell ref="L82:N82"/>
    <mergeCell ref="O82:Q82"/>
    <mergeCell ref="X82:AB82"/>
    <mergeCell ref="AC82:AG82"/>
    <mergeCell ref="AH82:AL82"/>
    <mergeCell ref="AM82:AQ82"/>
    <mergeCell ref="D105:E105"/>
    <mergeCell ref="F105:H105"/>
    <mergeCell ref="I105:K105"/>
    <mergeCell ref="L105:N105"/>
    <mergeCell ref="O105:Q105"/>
    <mergeCell ref="X105:AB105"/>
    <mergeCell ref="AC105:AG105"/>
    <mergeCell ref="AH105:AL105"/>
    <mergeCell ref="AM105:AQ105"/>
    <mergeCell ref="R82:T82"/>
    <mergeCell ref="D81:Q81"/>
    <mergeCell ref="X81:AX81"/>
    <mergeCell ref="AR82:AV82"/>
    <mergeCell ref="AW82:AX82"/>
    <mergeCell ref="D104:Q104"/>
    <mergeCell ref="X104:AX104"/>
    <mergeCell ref="U58:V59"/>
    <mergeCell ref="U81:V82"/>
    <mergeCell ref="B76:AX76"/>
    <mergeCell ref="B79:AX79"/>
    <mergeCell ref="B81:B83"/>
    <mergeCell ref="C81:C83"/>
    <mergeCell ref="R81:T81"/>
    <mergeCell ref="B99:AX99"/>
    <mergeCell ref="B102:AX102"/>
    <mergeCell ref="B104:B106"/>
    <mergeCell ref="C104:C106"/>
    <mergeCell ref="R104:T104"/>
    <mergeCell ref="R105:T105"/>
    <mergeCell ref="U104:V105"/>
    <mergeCell ref="R59:T59"/>
    <mergeCell ref="AR105:AV105"/>
    <mergeCell ref="AW105:AX105"/>
    <mergeCell ref="D82:E82"/>
    <mergeCell ref="AM36:AQ36"/>
    <mergeCell ref="AR36:AV36"/>
    <mergeCell ref="AW36:AX36"/>
    <mergeCell ref="F12:H12"/>
    <mergeCell ref="I12:K12"/>
    <mergeCell ref="L12:N12"/>
    <mergeCell ref="O12:Q12"/>
    <mergeCell ref="X12:AB12"/>
    <mergeCell ref="AC12:AG12"/>
    <mergeCell ref="AH12:AL12"/>
    <mergeCell ref="AM12:AQ12"/>
    <mergeCell ref="AR12:AV12"/>
    <mergeCell ref="U35:V36"/>
    <mergeCell ref="B29:AX29"/>
    <mergeCell ref="B33:AX33"/>
    <mergeCell ref="B35:B37"/>
    <mergeCell ref="C35:C37"/>
    <mergeCell ref="R35:T35"/>
    <mergeCell ref="R36:T36"/>
    <mergeCell ref="D35:Q35"/>
    <mergeCell ref="X35:AX35"/>
    <mergeCell ref="D36:E36"/>
    <mergeCell ref="F36:H36"/>
    <mergeCell ref="I36:K36"/>
    <mergeCell ref="L36:N36"/>
    <mergeCell ref="O36:Q36"/>
    <mergeCell ref="X36:AB36"/>
    <mergeCell ref="AC36:AG36"/>
    <mergeCell ref="AH36:AL36"/>
    <mergeCell ref="B168:AX168"/>
    <mergeCell ref="B145:AX145"/>
    <mergeCell ref="B148:AX148"/>
    <mergeCell ref="B150:B152"/>
    <mergeCell ref="C150:C152"/>
    <mergeCell ref="R150:T150"/>
    <mergeCell ref="R151:T151"/>
    <mergeCell ref="U150:V151"/>
    <mergeCell ref="D150:Q150"/>
    <mergeCell ref="X150:AX150"/>
    <mergeCell ref="D151:E151"/>
    <mergeCell ref="AW151:AX151"/>
    <mergeCell ref="F151:H151"/>
    <mergeCell ref="I151:K151"/>
    <mergeCell ref="L151:N151"/>
    <mergeCell ref="O151:Q151"/>
    <mergeCell ref="X151:AB151"/>
    <mergeCell ref="AC151:AG151"/>
    <mergeCell ref="AH151:AL151"/>
    <mergeCell ref="AM151:AQ151"/>
    <mergeCell ref="AR151:AV151"/>
    <mergeCell ref="B122:AX122"/>
    <mergeCell ref="B125:AX125"/>
    <mergeCell ref="B127:B129"/>
    <mergeCell ref="C127:C129"/>
    <mergeCell ref="R127:T127"/>
    <mergeCell ref="R128:T128"/>
    <mergeCell ref="U127:V128"/>
    <mergeCell ref="D127:Q127"/>
    <mergeCell ref="X127:AX127"/>
    <mergeCell ref="D128:E128"/>
    <mergeCell ref="F128:H128"/>
    <mergeCell ref="I128:K128"/>
    <mergeCell ref="L128:N128"/>
    <mergeCell ref="O128:Q128"/>
    <mergeCell ref="X128:AB128"/>
    <mergeCell ref="AC128:AG128"/>
    <mergeCell ref="AH128:AL128"/>
    <mergeCell ref="AM128:AQ128"/>
    <mergeCell ref="AR128:AV128"/>
    <mergeCell ref="AW128:AX128"/>
    <mergeCell ref="B53:AX53"/>
    <mergeCell ref="B56:AX56"/>
    <mergeCell ref="B58:B60"/>
    <mergeCell ref="C58:C60"/>
    <mergeCell ref="R58:T58"/>
    <mergeCell ref="D58:Q58"/>
    <mergeCell ref="X58:AX58"/>
    <mergeCell ref="D59:E59"/>
    <mergeCell ref="F59:H59"/>
    <mergeCell ref="I59:K59"/>
    <mergeCell ref="L59:N59"/>
    <mergeCell ref="O59:Q59"/>
    <mergeCell ref="X59:AB59"/>
    <mergeCell ref="AC59:AG59"/>
    <mergeCell ref="AH59:AL59"/>
    <mergeCell ref="AM59:AQ59"/>
    <mergeCell ref="AR59:AV59"/>
    <mergeCell ref="AW59:AX59"/>
    <mergeCell ref="C2:H2"/>
    <mergeCell ref="B9:AX9"/>
    <mergeCell ref="B11:B13"/>
    <mergeCell ref="C11:C13"/>
    <mergeCell ref="R11:T11"/>
    <mergeCell ref="J2:L2"/>
    <mergeCell ref="B5:I5"/>
    <mergeCell ref="R12:T12"/>
    <mergeCell ref="D11:Q11"/>
    <mergeCell ref="X11:AX11"/>
    <mergeCell ref="D12:E12"/>
    <mergeCell ref="U11:V12"/>
    <mergeCell ref="AW12:AX12"/>
  </mergeCells>
  <hyperlinks>
    <hyperlink ref="J2" location="'Αρχική σελίδα'!A1" display="Πίσω στην αρχική σελίδα" xr:uid="{F8EDC39C-CE97-4E3B-96A2-126040462AF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sheetPr>
  <dimension ref="A2:AK142"/>
  <sheetViews>
    <sheetView showGridLines="0" topLeftCell="A5" zoomScaleNormal="100" workbookViewId="0">
      <selection activeCell="K115" sqref="K115"/>
    </sheetView>
  </sheetViews>
  <sheetFormatPr defaultRowHeight="15" outlineLevelRow="1" x14ac:dyDescent="0.25"/>
  <cols>
    <col min="1" max="1" width="2.85546875" customWidth="1"/>
    <col min="2" max="2" width="28.28515625" customWidth="1"/>
    <col min="3" max="3" width="21.28515625" customWidth="1"/>
    <col min="4" max="7" width="16.7109375" customWidth="1"/>
    <col min="14" max="14" width="10.42578125" customWidth="1"/>
    <col min="16" max="16" width="6.28515625" customWidth="1"/>
    <col min="17" max="17" width="1.7109375" customWidth="1"/>
  </cols>
  <sheetData>
    <row r="2" spans="2:37" ht="18.75" x14ac:dyDescent="0.3">
      <c r="B2" s="1" t="s">
        <v>1</v>
      </c>
      <c r="C2" s="353" t="str">
        <f>'Αρχική σελίδα'!C3</f>
        <v>HENGAS</v>
      </c>
      <c r="D2" s="353"/>
      <c r="E2" s="353"/>
      <c r="F2" s="353"/>
      <c r="G2" s="353"/>
      <c r="H2" s="110"/>
      <c r="J2" s="354" t="s">
        <v>213</v>
      </c>
      <c r="K2" s="354"/>
      <c r="L2" s="354"/>
    </row>
    <row r="3" spans="2:37" ht="18.75" x14ac:dyDescent="0.3">
      <c r="B3" s="2" t="s">
        <v>2</v>
      </c>
      <c r="C3" s="111">
        <f>'Αρχική σελίδα'!C4</f>
        <v>2023</v>
      </c>
      <c r="D3" s="48" t="s">
        <v>0</v>
      </c>
      <c r="E3" s="48">
        <f>C3+4</f>
        <v>2027</v>
      </c>
    </row>
    <row r="4" spans="2:37" ht="14.45" customHeight="1" x14ac:dyDescent="0.3">
      <c r="C4" s="2"/>
      <c r="D4" s="48"/>
      <c r="E4" s="48"/>
    </row>
    <row r="5" spans="2:37" ht="56.45" customHeight="1" x14ac:dyDescent="0.25">
      <c r="B5" s="355" t="s">
        <v>247</v>
      </c>
      <c r="C5" s="355"/>
      <c r="D5" s="355"/>
      <c r="E5" s="355"/>
      <c r="F5" s="355"/>
      <c r="G5" s="355"/>
      <c r="H5" s="355"/>
      <c r="I5" s="355"/>
    </row>
    <row r="6" spans="2:37" x14ac:dyDescent="0.25">
      <c r="B6" s="271"/>
      <c r="C6" s="271"/>
      <c r="D6" s="271"/>
      <c r="E6" s="271"/>
      <c r="F6" s="271"/>
      <c r="G6" s="271"/>
      <c r="H6" s="271"/>
    </row>
    <row r="7" spans="2:37" ht="18.75" x14ac:dyDescent="0.3">
      <c r="B7" s="112"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(2018 - 2022) και για το Πρόγραμμα Ανάπτυξης  2023 - 2027</v>
      </c>
      <c r="C7" s="113"/>
      <c r="D7" s="113"/>
      <c r="E7" s="113"/>
      <c r="F7" s="113"/>
      <c r="G7" s="113"/>
      <c r="H7" s="110"/>
      <c r="I7" s="110"/>
      <c r="J7" s="110"/>
      <c r="K7" s="110"/>
      <c r="L7" s="110"/>
    </row>
    <row r="8" spans="2:37" ht="18.75" x14ac:dyDescent="0.3">
      <c r="C8" s="2"/>
      <c r="D8" s="48"/>
      <c r="E8" s="48"/>
      <c r="F8" s="48"/>
    </row>
    <row r="9" spans="2:37" ht="15.75" x14ac:dyDescent="0.25">
      <c r="B9" s="352" t="s">
        <v>203</v>
      </c>
      <c r="C9" s="352"/>
      <c r="D9" s="352"/>
      <c r="E9" s="352"/>
      <c r="F9" s="352"/>
      <c r="G9" s="352"/>
    </row>
    <row r="10" spans="2:37" ht="5.45" customHeight="1" outlineLevel="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2:37" outlineLevel="1" x14ac:dyDescent="0.25">
      <c r="B11" s="400"/>
      <c r="C11" s="385" t="s">
        <v>20</v>
      </c>
      <c r="D11" s="376" t="s">
        <v>262</v>
      </c>
      <c r="E11" s="392"/>
      <c r="F11" s="376" t="s">
        <v>261</v>
      </c>
      <c r="G11" s="392"/>
    </row>
    <row r="12" spans="2:37" outlineLevel="1" x14ac:dyDescent="0.25">
      <c r="B12" s="401"/>
      <c r="C12" s="386"/>
      <c r="D12" s="376" t="str">
        <f>($C$3-5)&amp;" - "&amp;($C$3-1)</f>
        <v>2018 - 2022</v>
      </c>
      <c r="E12" s="392"/>
      <c r="F12" s="376" t="str">
        <f>$C$3&amp;" - "&amp;$E$3</f>
        <v>2023 - 2027</v>
      </c>
      <c r="G12" s="392"/>
    </row>
    <row r="13" spans="2:37" ht="26.25" customHeight="1" outlineLevel="1" x14ac:dyDescent="0.25">
      <c r="B13" s="402"/>
      <c r="C13" s="387"/>
      <c r="D13" s="87" t="s">
        <v>86</v>
      </c>
      <c r="E13" s="92" t="s">
        <v>87</v>
      </c>
      <c r="F13" s="87" t="s">
        <v>86</v>
      </c>
      <c r="G13" s="92" t="s">
        <v>87</v>
      </c>
    </row>
    <row r="14" spans="2:37" outlineLevel="1" x14ac:dyDescent="0.25">
      <c r="B14" s="281" t="s">
        <v>283</v>
      </c>
      <c r="C14" s="64" t="s">
        <v>85</v>
      </c>
      <c r="D14" s="94"/>
      <c r="E14" s="95"/>
      <c r="F14" s="95">
        <v>25</v>
      </c>
      <c r="G14" s="95">
        <v>25</v>
      </c>
    </row>
    <row r="15" spans="2:37" outlineLevel="1" x14ac:dyDescent="0.25">
      <c r="B15" s="52" t="s">
        <v>284</v>
      </c>
      <c r="C15" s="64" t="s">
        <v>85</v>
      </c>
      <c r="D15" s="94"/>
      <c r="E15" s="95"/>
      <c r="F15" s="95">
        <v>15</v>
      </c>
      <c r="G15" s="95">
        <v>15</v>
      </c>
    </row>
    <row r="16" spans="2:37" outlineLevel="1" x14ac:dyDescent="0.25">
      <c r="B16" s="52" t="s">
        <v>285</v>
      </c>
      <c r="C16" s="64" t="s">
        <v>85</v>
      </c>
      <c r="D16" s="94"/>
      <c r="E16" s="95"/>
      <c r="F16" s="95">
        <v>15</v>
      </c>
      <c r="G16" s="95">
        <v>15</v>
      </c>
    </row>
    <row r="17" spans="2:37" outlineLevel="1" x14ac:dyDescent="0.25">
      <c r="B17" s="52" t="s">
        <v>286</v>
      </c>
      <c r="C17" s="64" t="s">
        <v>85</v>
      </c>
      <c r="D17" s="94"/>
      <c r="E17" s="95"/>
      <c r="F17" s="95">
        <v>15</v>
      </c>
      <c r="G17" s="95">
        <v>15</v>
      </c>
    </row>
    <row r="18" spans="2:37" outlineLevel="1" x14ac:dyDescent="0.25">
      <c r="B18" s="52" t="s">
        <v>287</v>
      </c>
      <c r="C18" s="64" t="s">
        <v>85</v>
      </c>
      <c r="D18" s="94"/>
      <c r="E18" s="95"/>
      <c r="F18" s="95">
        <v>15</v>
      </c>
      <c r="G18" s="95">
        <v>15</v>
      </c>
    </row>
    <row r="19" spans="2:37" outlineLevel="1" x14ac:dyDescent="0.25">
      <c r="B19" s="52" t="s">
        <v>288</v>
      </c>
      <c r="C19" s="64" t="s">
        <v>85</v>
      </c>
      <c r="D19" s="94"/>
      <c r="E19" s="95"/>
      <c r="F19" s="95">
        <v>15</v>
      </c>
      <c r="G19" s="95">
        <v>15</v>
      </c>
    </row>
    <row r="20" spans="2:37" ht="16.5" customHeight="1" outlineLevel="1" x14ac:dyDescent="0.25">
      <c r="B20" s="52" t="s">
        <v>289</v>
      </c>
      <c r="C20" s="64" t="s">
        <v>85</v>
      </c>
      <c r="D20" s="94"/>
      <c r="E20" s="95"/>
      <c r="F20" s="95">
        <v>15</v>
      </c>
      <c r="G20" s="95">
        <v>15</v>
      </c>
    </row>
    <row r="21" spans="2:37" ht="16.5" customHeight="1" outlineLevel="1" x14ac:dyDescent="0.25">
      <c r="B21" s="52" t="s">
        <v>290</v>
      </c>
      <c r="C21" s="64" t="s">
        <v>85</v>
      </c>
      <c r="D21" s="94"/>
      <c r="E21" s="95"/>
      <c r="F21" s="95">
        <v>15</v>
      </c>
      <c r="G21" s="95">
        <v>15</v>
      </c>
    </row>
    <row r="22" spans="2:37" ht="16.5" customHeight="1" outlineLevel="1" x14ac:dyDescent="0.25">
      <c r="B22" s="52" t="s">
        <v>291</v>
      </c>
      <c r="C22" s="64" t="s">
        <v>85</v>
      </c>
      <c r="D22" s="94"/>
      <c r="E22" s="95"/>
      <c r="F22" s="95">
        <v>15</v>
      </c>
      <c r="G22" s="95">
        <v>15</v>
      </c>
    </row>
    <row r="23" spans="2:37" ht="16.5" customHeight="1" outlineLevel="1" x14ac:dyDescent="0.25">
      <c r="B23" s="52" t="s">
        <v>307</v>
      </c>
      <c r="C23" s="64" t="s">
        <v>85</v>
      </c>
      <c r="D23" s="94"/>
      <c r="E23" s="95"/>
      <c r="F23" s="95">
        <v>15</v>
      </c>
      <c r="G23" s="95">
        <v>15</v>
      </c>
    </row>
    <row r="24" spans="2:37" ht="16.5" customHeight="1" outlineLevel="1" x14ac:dyDescent="0.25">
      <c r="B24" s="52" t="s">
        <v>304</v>
      </c>
      <c r="C24" s="64" t="s">
        <v>85</v>
      </c>
      <c r="D24" s="94"/>
      <c r="E24" s="95"/>
      <c r="F24" s="95">
        <v>15</v>
      </c>
      <c r="G24" s="95">
        <v>15</v>
      </c>
    </row>
    <row r="25" spans="2:37" ht="16.5" customHeight="1" outlineLevel="1" x14ac:dyDescent="0.25">
      <c r="B25" s="52" t="s">
        <v>305</v>
      </c>
      <c r="C25" s="64" t="s">
        <v>85</v>
      </c>
      <c r="D25" s="94"/>
      <c r="E25" s="95"/>
      <c r="F25" s="95">
        <v>15</v>
      </c>
      <c r="G25" s="95">
        <v>15</v>
      </c>
    </row>
    <row r="26" spans="2:37" ht="16.5" customHeight="1" outlineLevel="1" x14ac:dyDescent="0.25">
      <c r="B26" s="52" t="s">
        <v>306</v>
      </c>
      <c r="C26" s="64" t="s">
        <v>85</v>
      </c>
      <c r="D26" s="94"/>
      <c r="E26" s="95"/>
      <c r="F26" s="95">
        <v>15</v>
      </c>
      <c r="G26" s="95">
        <v>15</v>
      </c>
    </row>
    <row r="27" spans="2:37" ht="16.5" customHeight="1" outlineLevel="1" x14ac:dyDescent="0.25">
      <c r="B27" s="52" t="s">
        <v>308</v>
      </c>
      <c r="C27" s="64" t="s">
        <v>85</v>
      </c>
      <c r="D27" s="94"/>
      <c r="E27" s="95"/>
      <c r="F27" s="95">
        <v>15</v>
      </c>
      <c r="G27" s="95">
        <v>15</v>
      </c>
    </row>
    <row r="28" spans="2:37" ht="16.5" customHeight="1" outlineLevel="1" x14ac:dyDescent="0.25">
      <c r="B28" s="52"/>
      <c r="C28" s="64"/>
      <c r="D28" s="94"/>
      <c r="E28" s="95"/>
      <c r="F28" s="95"/>
      <c r="G28" s="95"/>
    </row>
    <row r="29" spans="2:37" ht="16.5" customHeight="1" outlineLevel="1" x14ac:dyDescent="0.25">
      <c r="B29" s="349" t="s">
        <v>90</v>
      </c>
      <c r="C29" s="350"/>
      <c r="D29" s="350"/>
      <c r="E29" s="350"/>
      <c r="F29" s="350"/>
      <c r="G29" s="397"/>
    </row>
    <row r="30" spans="2:37" ht="15" customHeight="1" x14ac:dyDescent="0.25"/>
    <row r="31" spans="2:37" ht="15.75" x14ac:dyDescent="0.25">
      <c r="B31" s="352" t="s">
        <v>205</v>
      </c>
      <c r="C31" s="352"/>
      <c r="D31" s="352"/>
      <c r="E31" s="352"/>
      <c r="F31" s="352"/>
      <c r="G31" s="352"/>
    </row>
    <row r="32" spans="2:37" ht="5.45" customHeight="1" outlineLevel="1" x14ac:dyDescent="0.2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row>
    <row r="33" spans="2:7" outlineLevel="1" x14ac:dyDescent="0.25">
      <c r="B33" s="400"/>
      <c r="C33" s="412" t="s">
        <v>20</v>
      </c>
      <c r="D33" s="376" t="s">
        <v>262</v>
      </c>
      <c r="E33" s="392"/>
      <c r="F33" s="376" t="s">
        <v>261</v>
      </c>
      <c r="G33" s="392"/>
    </row>
    <row r="34" spans="2:7" outlineLevel="1" x14ac:dyDescent="0.25">
      <c r="B34" s="401"/>
      <c r="C34" s="413"/>
      <c r="D34" s="376" t="str">
        <f>($C$3-5)&amp;" - "&amp;($C$3-1)</f>
        <v>2018 - 2022</v>
      </c>
      <c r="E34" s="392"/>
      <c r="F34" s="376" t="str">
        <f>$C$3&amp;" - "&amp;$E$3</f>
        <v>2023 - 2027</v>
      </c>
      <c r="G34" s="392"/>
    </row>
    <row r="35" spans="2:7" ht="30" outlineLevel="1" x14ac:dyDescent="0.25">
      <c r="B35" s="402"/>
      <c r="C35" s="414"/>
      <c r="D35" s="87" t="s">
        <v>86</v>
      </c>
      <c r="E35" s="92" t="s">
        <v>87</v>
      </c>
      <c r="F35" s="87" t="s">
        <v>86</v>
      </c>
      <c r="G35" s="92" t="s">
        <v>87</v>
      </c>
    </row>
    <row r="36" spans="2:7" outlineLevel="1" x14ac:dyDescent="0.25">
      <c r="B36" s="281" t="s">
        <v>283</v>
      </c>
      <c r="C36" s="64" t="s">
        <v>85</v>
      </c>
      <c r="D36" s="94"/>
      <c r="E36" s="95"/>
      <c r="F36" s="95">
        <v>10</v>
      </c>
      <c r="G36" s="95">
        <v>10</v>
      </c>
    </row>
    <row r="37" spans="2:7" s="55" customFormat="1" ht="12.75" customHeight="1" outlineLevel="1" x14ac:dyDescent="0.25">
      <c r="B37" s="52" t="s">
        <v>284</v>
      </c>
      <c r="C37" s="64" t="s">
        <v>85</v>
      </c>
      <c r="D37" s="94"/>
      <c r="E37" s="95"/>
      <c r="F37" s="95">
        <v>5</v>
      </c>
      <c r="G37" s="95">
        <v>5</v>
      </c>
    </row>
    <row r="38" spans="2:7" s="55" customFormat="1" ht="12.75" customHeight="1" outlineLevel="1" x14ac:dyDescent="0.25">
      <c r="B38" s="52" t="s">
        <v>285</v>
      </c>
      <c r="C38" s="64" t="s">
        <v>85</v>
      </c>
      <c r="D38" s="94"/>
      <c r="E38" s="95"/>
      <c r="F38" s="95">
        <v>5</v>
      </c>
      <c r="G38" s="95">
        <v>5</v>
      </c>
    </row>
    <row r="39" spans="2:7" outlineLevel="1" x14ac:dyDescent="0.25">
      <c r="B39" s="52" t="s">
        <v>286</v>
      </c>
      <c r="C39" s="64" t="s">
        <v>85</v>
      </c>
      <c r="D39" s="94"/>
      <c r="E39" s="95"/>
      <c r="F39" s="95">
        <v>5</v>
      </c>
      <c r="G39" s="95">
        <v>5</v>
      </c>
    </row>
    <row r="40" spans="2:7" s="55" customFormat="1" ht="12.75" customHeight="1" outlineLevel="1" x14ac:dyDescent="0.25">
      <c r="B40" s="52" t="s">
        <v>287</v>
      </c>
      <c r="C40" s="64" t="s">
        <v>85</v>
      </c>
      <c r="D40" s="94"/>
      <c r="E40" s="95"/>
      <c r="F40" s="95">
        <v>5</v>
      </c>
      <c r="G40" s="95">
        <v>5</v>
      </c>
    </row>
    <row r="41" spans="2:7" outlineLevel="1" x14ac:dyDescent="0.25">
      <c r="B41" s="52" t="s">
        <v>288</v>
      </c>
      <c r="C41" s="64" t="s">
        <v>85</v>
      </c>
      <c r="D41" s="94"/>
      <c r="E41" s="95"/>
      <c r="F41" s="95">
        <v>5</v>
      </c>
      <c r="G41" s="95">
        <v>5</v>
      </c>
    </row>
    <row r="42" spans="2:7" ht="16.5" customHeight="1" outlineLevel="1" x14ac:dyDescent="0.25">
      <c r="B42" s="52" t="s">
        <v>289</v>
      </c>
      <c r="C42" s="64" t="s">
        <v>85</v>
      </c>
      <c r="D42" s="94"/>
      <c r="E42" s="95"/>
      <c r="F42" s="95">
        <v>5</v>
      </c>
      <c r="G42" s="95">
        <v>5</v>
      </c>
    </row>
    <row r="43" spans="2:7" ht="16.5" customHeight="1" outlineLevel="1" x14ac:dyDescent="0.25">
      <c r="B43" s="52" t="s">
        <v>290</v>
      </c>
      <c r="C43" s="64" t="s">
        <v>85</v>
      </c>
      <c r="D43" s="94"/>
      <c r="E43" s="95"/>
      <c r="F43" s="95">
        <v>5</v>
      </c>
      <c r="G43" s="95">
        <v>5</v>
      </c>
    </row>
    <row r="44" spans="2:7" ht="16.5" customHeight="1" outlineLevel="1" x14ac:dyDescent="0.25">
      <c r="B44" s="52" t="s">
        <v>291</v>
      </c>
      <c r="C44" s="64" t="s">
        <v>85</v>
      </c>
      <c r="D44" s="94"/>
      <c r="E44" s="95"/>
      <c r="F44" s="95">
        <v>10</v>
      </c>
      <c r="G44" s="95">
        <v>10</v>
      </c>
    </row>
    <row r="45" spans="2:7" ht="16.5" customHeight="1" outlineLevel="1" x14ac:dyDescent="0.25">
      <c r="B45" s="52" t="s">
        <v>307</v>
      </c>
      <c r="C45" s="64" t="s">
        <v>85</v>
      </c>
      <c r="D45" s="94"/>
      <c r="E45" s="95"/>
      <c r="F45" s="95">
        <v>5</v>
      </c>
      <c r="G45" s="95">
        <v>5</v>
      </c>
    </row>
    <row r="46" spans="2:7" ht="16.5" customHeight="1" outlineLevel="1" x14ac:dyDescent="0.25">
      <c r="B46" s="52" t="s">
        <v>304</v>
      </c>
      <c r="C46" s="64" t="s">
        <v>85</v>
      </c>
      <c r="D46" s="94"/>
      <c r="E46" s="95"/>
      <c r="F46" s="95">
        <v>5</v>
      </c>
      <c r="G46" s="95">
        <v>5</v>
      </c>
    </row>
    <row r="47" spans="2:7" ht="16.5" customHeight="1" outlineLevel="1" x14ac:dyDescent="0.25">
      <c r="B47" s="52" t="s">
        <v>305</v>
      </c>
      <c r="C47" s="64" t="s">
        <v>85</v>
      </c>
      <c r="D47" s="94"/>
      <c r="E47" s="95"/>
      <c r="F47" s="95">
        <v>5</v>
      </c>
      <c r="G47" s="95">
        <v>5</v>
      </c>
    </row>
    <row r="48" spans="2:7" ht="16.5" customHeight="1" outlineLevel="1" x14ac:dyDescent="0.25">
      <c r="B48" s="52" t="s">
        <v>306</v>
      </c>
      <c r="C48" s="64" t="s">
        <v>85</v>
      </c>
      <c r="D48" s="94"/>
      <c r="E48" s="95"/>
      <c r="F48" s="95">
        <v>5</v>
      </c>
      <c r="G48" s="95">
        <v>5</v>
      </c>
    </row>
    <row r="49" spans="1:37" ht="16.5" customHeight="1" outlineLevel="1" x14ac:dyDescent="0.25">
      <c r="B49" s="52" t="s">
        <v>308</v>
      </c>
      <c r="C49" s="64" t="s">
        <v>85</v>
      </c>
      <c r="D49" s="94"/>
      <c r="E49" s="95"/>
      <c r="F49" s="95">
        <v>5</v>
      </c>
      <c r="G49" s="95">
        <v>5</v>
      </c>
    </row>
    <row r="50" spans="1:37" ht="16.5" customHeight="1" outlineLevel="1" x14ac:dyDescent="0.25">
      <c r="B50" s="52"/>
      <c r="C50" s="64"/>
      <c r="D50" s="94"/>
      <c r="E50" s="95"/>
      <c r="F50" s="95"/>
      <c r="G50" s="95"/>
    </row>
    <row r="51" spans="1:37" ht="16.5" customHeight="1" outlineLevel="1" x14ac:dyDescent="0.25">
      <c r="B51" s="349" t="s">
        <v>90</v>
      </c>
      <c r="C51" s="350"/>
      <c r="D51" s="350"/>
      <c r="E51" s="350"/>
      <c r="F51" s="350"/>
      <c r="G51" s="397"/>
    </row>
    <row r="52" spans="1:37" ht="15" customHeight="1" x14ac:dyDescent="0.25"/>
    <row r="53" spans="1:37" ht="15.75" x14ac:dyDescent="0.25">
      <c r="B53" s="352" t="s">
        <v>206</v>
      </c>
      <c r="C53" s="352"/>
      <c r="D53" s="352"/>
      <c r="E53" s="352"/>
      <c r="F53" s="352"/>
      <c r="G53" s="352"/>
    </row>
    <row r="54" spans="1:37" ht="5.45" customHeight="1" outlineLevel="1" x14ac:dyDescent="0.2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row>
    <row r="55" spans="1:37" outlineLevel="1" x14ac:dyDescent="0.25">
      <c r="B55" s="400"/>
      <c r="C55" s="412" t="s">
        <v>20</v>
      </c>
      <c r="D55" s="376" t="s">
        <v>262</v>
      </c>
      <c r="E55" s="392"/>
      <c r="F55" s="376" t="s">
        <v>261</v>
      </c>
      <c r="G55" s="392"/>
    </row>
    <row r="56" spans="1:37" outlineLevel="1" x14ac:dyDescent="0.25">
      <c r="B56" s="401"/>
      <c r="C56" s="413"/>
      <c r="D56" s="376" t="str">
        <f>($C$3-5)&amp;" - "&amp;($C$3-1)</f>
        <v>2018 - 2022</v>
      </c>
      <c r="E56" s="392"/>
      <c r="F56" s="376" t="str">
        <f>$C$3&amp;" - "&amp;$E$3</f>
        <v>2023 - 2027</v>
      </c>
      <c r="G56" s="392"/>
    </row>
    <row r="57" spans="1:37" ht="30" outlineLevel="1" x14ac:dyDescent="0.25">
      <c r="B57" s="402"/>
      <c r="C57" s="414"/>
      <c r="D57" s="87" t="s">
        <v>86</v>
      </c>
      <c r="E57" s="92" t="s">
        <v>87</v>
      </c>
      <c r="F57" s="87" t="s">
        <v>86</v>
      </c>
      <c r="G57" s="92" t="s">
        <v>87</v>
      </c>
    </row>
    <row r="58" spans="1:37" outlineLevel="1" x14ac:dyDescent="0.25">
      <c r="B58" s="281" t="s">
        <v>283</v>
      </c>
      <c r="C58" s="64" t="s">
        <v>85</v>
      </c>
      <c r="D58" s="94"/>
      <c r="E58" s="95"/>
      <c r="F58" s="94">
        <f>'Ανάλυση για νέους πελάτες'!D175/'Ανάλυση για νέους πελάτες'!D53</f>
        <v>10.310344827586206</v>
      </c>
      <c r="G58" s="95">
        <v>40</v>
      </c>
    </row>
    <row r="59" spans="1:37" s="55" customFormat="1" ht="12.75" customHeight="1" outlineLevel="1" x14ac:dyDescent="0.25">
      <c r="B59" s="52" t="s">
        <v>284</v>
      </c>
      <c r="C59" s="64" t="s">
        <v>85</v>
      </c>
      <c r="D59" s="96"/>
      <c r="E59" s="97"/>
      <c r="F59" s="94">
        <f>'Ανάλυση για νέους πελάτες'!D176/'Ανάλυση για νέους πελάτες'!D54</f>
        <v>12.173913043478262</v>
      </c>
      <c r="G59" s="95">
        <v>25</v>
      </c>
    </row>
    <row r="60" spans="1:37" s="55" customFormat="1" ht="12.75" customHeight="1" outlineLevel="1" x14ac:dyDescent="0.25">
      <c r="B60" s="52" t="s">
        <v>285</v>
      </c>
      <c r="C60" s="64" t="s">
        <v>85</v>
      </c>
      <c r="D60" s="96"/>
      <c r="E60" s="97"/>
      <c r="F60" s="94">
        <f>'Ανάλυση για νέους πελάτες'!D177/'Ανάλυση για νέους πελάτες'!D55</f>
        <v>12.314814814814815</v>
      </c>
      <c r="G60" s="95">
        <v>25</v>
      </c>
    </row>
    <row r="61" spans="1:37" outlineLevel="1" x14ac:dyDescent="0.25">
      <c r="B61" s="52" t="s">
        <v>286</v>
      </c>
      <c r="C61" s="64" t="s">
        <v>85</v>
      </c>
      <c r="D61" s="94"/>
      <c r="E61" s="95"/>
      <c r="F61" s="94">
        <f>'Ανάλυση για νέους πελάτες'!D178/'Ανάλυση για νέους πελάτες'!D56</f>
        <v>9.5142857142857142</v>
      </c>
      <c r="G61" s="95">
        <v>25</v>
      </c>
    </row>
    <row r="62" spans="1:37" s="55" customFormat="1" ht="12.75" customHeight="1" outlineLevel="1" x14ac:dyDescent="0.25">
      <c r="A62" s="61"/>
      <c r="B62" s="52" t="s">
        <v>287</v>
      </c>
      <c r="C62" s="64" t="s">
        <v>85</v>
      </c>
      <c r="D62" s="96"/>
      <c r="E62" s="97"/>
      <c r="F62" s="94"/>
      <c r="G62" s="95">
        <v>25</v>
      </c>
    </row>
    <row r="63" spans="1:37" outlineLevel="1" x14ac:dyDescent="0.25">
      <c r="B63" s="52" t="s">
        <v>288</v>
      </c>
      <c r="C63" s="64" t="s">
        <v>85</v>
      </c>
      <c r="D63" s="94"/>
      <c r="E63" s="95"/>
      <c r="F63" s="94">
        <f>'Ανάλυση για νέους πελάτες'!D180/'Ανάλυση για νέους πελάτες'!D58</f>
        <v>7.4722222222222223</v>
      </c>
      <c r="G63" s="95">
        <v>25</v>
      </c>
    </row>
    <row r="64" spans="1:37" outlineLevel="1" x14ac:dyDescent="0.25">
      <c r="B64" s="52" t="s">
        <v>289</v>
      </c>
      <c r="C64" s="64" t="s">
        <v>85</v>
      </c>
      <c r="D64" s="94"/>
      <c r="E64" s="95"/>
      <c r="F64" s="94">
        <f>'Ανάλυση για νέους πελάτες'!D181/'Ανάλυση για νέους πελάτες'!D59</f>
        <v>7.5769230769230766</v>
      </c>
      <c r="G64" s="95">
        <v>25</v>
      </c>
    </row>
    <row r="65" spans="2:37" ht="16.5" customHeight="1" outlineLevel="1" x14ac:dyDescent="0.25">
      <c r="B65" s="52" t="s">
        <v>290</v>
      </c>
      <c r="C65" s="64" t="s">
        <v>85</v>
      </c>
      <c r="D65" s="94"/>
      <c r="E65" s="95"/>
      <c r="F65" s="94">
        <f>'Ανάλυση για νέους πελάτες'!D182/'Ανάλυση για νέους πελάτες'!D60</f>
        <v>7.4649122807017543</v>
      </c>
      <c r="G65" s="95">
        <v>25</v>
      </c>
    </row>
    <row r="66" spans="2:37" ht="16.5" customHeight="1" outlineLevel="1" x14ac:dyDescent="0.25">
      <c r="B66" s="52" t="s">
        <v>291</v>
      </c>
      <c r="C66" s="64" t="s">
        <v>85</v>
      </c>
      <c r="D66" s="94"/>
      <c r="E66" s="95"/>
      <c r="F66" s="94">
        <f>'Ανάλυση για νέους πελάτες'!D183/'Ανάλυση για νέους πελάτες'!D61</f>
        <v>12.830357142857142</v>
      </c>
      <c r="G66" s="95">
        <v>25</v>
      </c>
    </row>
    <row r="67" spans="2:37" ht="16.5" customHeight="1" outlineLevel="1" x14ac:dyDescent="0.25">
      <c r="B67" s="52" t="s">
        <v>307</v>
      </c>
      <c r="C67" s="64" t="s">
        <v>85</v>
      </c>
      <c r="D67" s="94"/>
      <c r="E67" s="95"/>
      <c r="F67" s="94">
        <v>7</v>
      </c>
      <c r="G67" s="95">
        <v>25</v>
      </c>
    </row>
    <row r="68" spans="2:37" ht="16.5" customHeight="1" outlineLevel="1" x14ac:dyDescent="0.25">
      <c r="B68" s="52" t="s">
        <v>304</v>
      </c>
      <c r="C68" s="64" t="s">
        <v>85</v>
      </c>
      <c r="D68" s="94"/>
      <c r="E68" s="95"/>
      <c r="F68" s="94">
        <v>7</v>
      </c>
      <c r="G68" s="95">
        <v>25</v>
      </c>
    </row>
    <row r="69" spans="2:37" ht="16.5" customHeight="1" outlineLevel="1" x14ac:dyDescent="0.25">
      <c r="B69" s="52" t="s">
        <v>305</v>
      </c>
      <c r="C69" s="64" t="s">
        <v>85</v>
      </c>
      <c r="D69" s="94"/>
      <c r="E69" s="95"/>
      <c r="F69" s="94">
        <v>5</v>
      </c>
      <c r="G69" s="95">
        <v>25</v>
      </c>
    </row>
    <row r="70" spans="2:37" ht="16.5" customHeight="1" outlineLevel="1" x14ac:dyDescent="0.25">
      <c r="B70" s="52" t="s">
        <v>306</v>
      </c>
      <c r="C70" s="64" t="s">
        <v>85</v>
      </c>
      <c r="D70" s="94"/>
      <c r="E70" s="95"/>
      <c r="F70" s="94">
        <v>10</v>
      </c>
      <c r="G70" s="95">
        <v>25</v>
      </c>
    </row>
    <row r="71" spans="2:37" ht="16.5" customHeight="1" outlineLevel="1" x14ac:dyDescent="0.25">
      <c r="B71" s="52" t="s">
        <v>308</v>
      </c>
      <c r="C71" s="64" t="s">
        <v>85</v>
      </c>
      <c r="D71" s="94"/>
      <c r="E71" s="95"/>
      <c r="F71" s="94">
        <v>10</v>
      </c>
      <c r="G71" s="95">
        <v>25</v>
      </c>
    </row>
    <row r="72" spans="2:37" ht="16.5" customHeight="1" outlineLevel="1" x14ac:dyDescent="0.25">
      <c r="B72" s="52"/>
      <c r="C72" s="64"/>
      <c r="D72" s="94"/>
      <c r="E72" s="95"/>
      <c r="F72" s="94"/>
      <c r="G72" s="95"/>
    </row>
    <row r="73" spans="2:37" ht="16.5" customHeight="1" outlineLevel="1" x14ac:dyDescent="0.25">
      <c r="B73" s="349" t="s">
        <v>90</v>
      </c>
      <c r="C73" s="350"/>
      <c r="D73" s="350"/>
      <c r="E73" s="350"/>
      <c r="F73" s="350"/>
      <c r="G73" s="397"/>
    </row>
    <row r="75" spans="2:37" ht="15.75" x14ac:dyDescent="0.25">
      <c r="B75" s="352" t="s">
        <v>207</v>
      </c>
      <c r="C75" s="352"/>
      <c r="D75" s="352"/>
      <c r="E75" s="352"/>
      <c r="F75" s="352"/>
      <c r="G75" s="352"/>
    </row>
    <row r="76" spans="2:37" ht="5.45" customHeight="1" outlineLevel="1" x14ac:dyDescent="0.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row>
    <row r="77" spans="2:37" outlineLevel="1" x14ac:dyDescent="0.25">
      <c r="B77" s="400"/>
      <c r="C77" s="412" t="s">
        <v>20</v>
      </c>
      <c r="D77" s="376" t="s">
        <v>262</v>
      </c>
      <c r="E77" s="392"/>
      <c r="F77" s="376" t="s">
        <v>261</v>
      </c>
      <c r="G77" s="392"/>
    </row>
    <row r="78" spans="2:37" outlineLevel="1" x14ac:dyDescent="0.25">
      <c r="B78" s="401"/>
      <c r="C78" s="413"/>
      <c r="D78" s="376" t="str">
        <f>($C$3-5)&amp;" - "&amp;($C$3-1)</f>
        <v>2018 - 2022</v>
      </c>
      <c r="E78" s="392"/>
      <c r="F78" s="376" t="str">
        <f>$C$3&amp;" - "&amp;$E$3</f>
        <v>2023 - 2027</v>
      </c>
      <c r="G78" s="392"/>
    </row>
    <row r="79" spans="2:37" ht="30" outlineLevel="1" x14ac:dyDescent="0.25">
      <c r="B79" s="402"/>
      <c r="C79" s="414"/>
      <c r="D79" s="87" t="s">
        <v>86</v>
      </c>
      <c r="E79" s="92" t="s">
        <v>87</v>
      </c>
      <c r="F79" s="87" t="s">
        <v>86</v>
      </c>
      <c r="G79" s="92" t="s">
        <v>87</v>
      </c>
    </row>
    <row r="80" spans="2:37" outlineLevel="1" x14ac:dyDescent="0.25">
      <c r="B80" s="281" t="s">
        <v>283</v>
      </c>
      <c r="C80" s="64" t="s">
        <v>85</v>
      </c>
      <c r="D80" s="94"/>
      <c r="E80" s="95"/>
      <c r="F80" s="94">
        <f>'Ανάλυση για νέους πελάτες'!D195/'Ανάλυση για νέους πελάτες'!D73</f>
        <v>358</v>
      </c>
      <c r="G80" s="95">
        <f>F80</f>
        <v>358</v>
      </c>
    </row>
    <row r="81" spans="2:7" s="55" customFormat="1" ht="12.75" customHeight="1" outlineLevel="1" x14ac:dyDescent="0.25">
      <c r="B81" s="52" t="s">
        <v>284</v>
      </c>
      <c r="C81" s="64" t="s">
        <v>85</v>
      </c>
      <c r="D81" s="94"/>
      <c r="E81" s="95"/>
      <c r="F81" s="94">
        <f>'Ανάλυση για νέους πελάτες'!D196/'Ανάλυση για νέους πελάτες'!D74</f>
        <v>59.705882352941174</v>
      </c>
      <c r="G81" s="95">
        <f>F81</f>
        <v>59.705882352941174</v>
      </c>
    </row>
    <row r="82" spans="2:7" s="55" customFormat="1" ht="12.75" customHeight="1" outlineLevel="1" x14ac:dyDescent="0.25">
      <c r="B82" s="52" t="s">
        <v>285</v>
      </c>
      <c r="C82" s="64" t="s">
        <v>85</v>
      </c>
      <c r="D82" s="94"/>
      <c r="E82" s="95"/>
      <c r="F82" s="94">
        <f>'Ανάλυση για νέους πελάτες'!D197/'Ανάλυση για νέους πελάτες'!D75</f>
        <v>59.722222222222221</v>
      </c>
      <c r="G82" s="95">
        <f t="shared" ref="G82:G83" si="0">F82</f>
        <v>59.722222222222221</v>
      </c>
    </row>
    <row r="83" spans="2:7" outlineLevel="1" x14ac:dyDescent="0.25">
      <c r="B83" s="52" t="s">
        <v>286</v>
      </c>
      <c r="C83" s="64" t="s">
        <v>85</v>
      </c>
      <c r="D83" s="94"/>
      <c r="E83" s="95"/>
      <c r="F83" s="94">
        <f>'Ανάλυση για νέους πελάτες'!D198/'Ανάλυση για νέους πελάτες'!D76</f>
        <v>59.75</v>
      </c>
      <c r="G83" s="95">
        <f t="shared" si="0"/>
        <v>59.75</v>
      </c>
    </row>
    <row r="84" spans="2:7" s="55" customFormat="1" ht="12.75" customHeight="1" outlineLevel="1" x14ac:dyDescent="0.25">
      <c r="B84" s="52" t="s">
        <v>287</v>
      </c>
      <c r="C84" s="64" t="s">
        <v>85</v>
      </c>
      <c r="D84" s="94"/>
      <c r="E84" s="95"/>
      <c r="F84" s="94"/>
      <c r="G84" s="95">
        <v>60</v>
      </c>
    </row>
    <row r="85" spans="2:7" outlineLevel="1" x14ac:dyDescent="0.25">
      <c r="B85" s="52" t="s">
        <v>288</v>
      </c>
      <c r="C85" s="64" t="s">
        <v>85</v>
      </c>
      <c r="D85" s="94"/>
      <c r="E85" s="95"/>
      <c r="F85" s="94">
        <f>'Ανάλυση για νέους πελάτες'!D200/'Ανάλυση για νέους πελάτες'!D78</f>
        <v>59.714285714285715</v>
      </c>
      <c r="G85" s="95">
        <v>80</v>
      </c>
    </row>
    <row r="86" spans="2:7" ht="15" customHeight="1" outlineLevel="1" x14ac:dyDescent="0.25">
      <c r="B86" s="52" t="s">
        <v>289</v>
      </c>
      <c r="C86" s="64" t="s">
        <v>85</v>
      </c>
      <c r="D86" s="94"/>
      <c r="E86" s="95"/>
      <c r="F86" s="94">
        <f>'Ανάλυση για νέους πελάτες'!D201/'Ανάλυση για νέους πελάτες'!D79</f>
        <v>60.61904761904762</v>
      </c>
      <c r="G86" s="95">
        <v>80</v>
      </c>
    </row>
    <row r="87" spans="2:7" ht="15" customHeight="1" outlineLevel="1" x14ac:dyDescent="0.25">
      <c r="B87" s="52" t="s">
        <v>290</v>
      </c>
      <c r="C87" s="64" t="s">
        <v>85</v>
      </c>
      <c r="D87" s="94"/>
      <c r="E87" s="95"/>
      <c r="F87" s="94">
        <f>'Ανάλυση για νέους πελάτες'!D202/'Ανάλυση για νέους πελάτες'!D80</f>
        <v>59.735849056603776</v>
      </c>
      <c r="G87" s="95">
        <v>80</v>
      </c>
    </row>
    <row r="88" spans="2:7" ht="15" customHeight="1" outlineLevel="1" x14ac:dyDescent="0.25">
      <c r="B88" s="52" t="s">
        <v>291</v>
      </c>
      <c r="C88" s="64" t="s">
        <v>85</v>
      </c>
      <c r="D88" s="94"/>
      <c r="E88" s="95"/>
      <c r="F88" s="94">
        <v>80</v>
      </c>
      <c r="G88" s="95">
        <v>80</v>
      </c>
    </row>
    <row r="89" spans="2:7" ht="15" customHeight="1" outlineLevel="1" x14ac:dyDescent="0.25">
      <c r="B89" s="52" t="s">
        <v>307</v>
      </c>
      <c r="C89" s="64" t="s">
        <v>85</v>
      </c>
      <c r="D89" s="94"/>
      <c r="E89" s="95"/>
      <c r="F89" s="94">
        <v>60</v>
      </c>
      <c r="G89" s="95">
        <v>60</v>
      </c>
    </row>
    <row r="90" spans="2:7" ht="15" customHeight="1" outlineLevel="1" x14ac:dyDescent="0.25">
      <c r="B90" s="52" t="s">
        <v>304</v>
      </c>
      <c r="C90" s="64" t="s">
        <v>85</v>
      </c>
      <c r="D90" s="94"/>
      <c r="E90" s="95"/>
      <c r="F90" s="94">
        <v>60</v>
      </c>
      <c r="G90" s="95">
        <v>60</v>
      </c>
    </row>
    <row r="91" spans="2:7" ht="15" customHeight="1" outlineLevel="1" x14ac:dyDescent="0.25">
      <c r="B91" s="52" t="s">
        <v>305</v>
      </c>
      <c r="C91" s="64" t="s">
        <v>85</v>
      </c>
      <c r="D91" s="94"/>
      <c r="E91" s="95"/>
      <c r="F91" s="94">
        <v>60</v>
      </c>
      <c r="G91" s="95">
        <v>60</v>
      </c>
    </row>
    <row r="92" spans="2:7" ht="15" customHeight="1" outlineLevel="1" x14ac:dyDescent="0.25">
      <c r="B92" s="52" t="s">
        <v>306</v>
      </c>
      <c r="C92" s="64" t="s">
        <v>85</v>
      </c>
      <c r="D92" s="94"/>
      <c r="E92" s="95"/>
      <c r="F92" s="94">
        <v>60</v>
      </c>
      <c r="G92" s="95">
        <v>60</v>
      </c>
    </row>
    <row r="93" spans="2:7" ht="15" customHeight="1" outlineLevel="1" x14ac:dyDescent="0.25">
      <c r="B93" s="52" t="s">
        <v>308</v>
      </c>
      <c r="C93" s="64" t="s">
        <v>85</v>
      </c>
      <c r="D93" s="94"/>
      <c r="E93" s="95"/>
      <c r="F93" s="94">
        <v>60</v>
      </c>
      <c r="G93" s="95">
        <v>60</v>
      </c>
    </row>
    <row r="94" spans="2:7" ht="15" customHeight="1" outlineLevel="1" x14ac:dyDescent="0.25">
      <c r="B94" s="52"/>
      <c r="C94" s="64"/>
      <c r="D94" s="94"/>
      <c r="E94" s="95"/>
      <c r="F94" s="94"/>
      <c r="G94" s="95"/>
    </row>
    <row r="95" spans="2:7" ht="16.5" customHeight="1" outlineLevel="1" x14ac:dyDescent="0.25">
      <c r="B95" s="349" t="s">
        <v>90</v>
      </c>
      <c r="C95" s="350"/>
      <c r="D95" s="350"/>
      <c r="E95" s="350"/>
      <c r="F95" s="350"/>
      <c r="G95" s="397"/>
    </row>
    <row r="97" spans="2:37" ht="15.75" x14ac:dyDescent="0.25">
      <c r="B97" s="352" t="s">
        <v>13</v>
      </c>
      <c r="C97" s="352"/>
      <c r="D97" s="352"/>
      <c r="E97" s="352"/>
      <c r="F97" s="352"/>
      <c r="G97" s="352"/>
    </row>
    <row r="98" spans="2:37" ht="5.45" customHeight="1" outlineLevel="1" x14ac:dyDescent="0.2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row>
    <row r="99" spans="2:37" outlineLevel="1" x14ac:dyDescent="0.25">
      <c r="B99" s="400"/>
      <c r="C99" s="412" t="s">
        <v>20</v>
      </c>
      <c r="D99" s="376" t="s">
        <v>262</v>
      </c>
      <c r="E99" s="392"/>
      <c r="F99" s="376" t="s">
        <v>261</v>
      </c>
      <c r="G99" s="392"/>
    </row>
    <row r="100" spans="2:37" outlineLevel="1" x14ac:dyDescent="0.25">
      <c r="B100" s="401"/>
      <c r="C100" s="413"/>
      <c r="D100" s="376" t="str">
        <f>($C$3-5)&amp;" - "&amp;($C$3-1)</f>
        <v>2018 - 2022</v>
      </c>
      <c r="E100" s="392"/>
      <c r="F100" s="376" t="str">
        <f>$C$3&amp;" - "&amp;$E$3</f>
        <v>2023 - 2027</v>
      </c>
      <c r="G100" s="392"/>
    </row>
    <row r="101" spans="2:37" ht="30" outlineLevel="1" x14ac:dyDescent="0.25">
      <c r="B101" s="402"/>
      <c r="C101" s="414"/>
      <c r="D101" s="87" t="s">
        <v>86</v>
      </c>
      <c r="E101" s="92" t="s">
        <v>87</v>
      </c>
      <c r="F101" s="87" t="s">
        <v>86</v>
      </c>
      <c r="G101" s="92" t="s">
        <v>87</v>
      </c>
    </row>
    <row r="102" spans="2:37" outlineLevel="1" x14ac:dyDescent="0.25">
      <c r="B102" s="281" t="s">
        <v>283</v>
      </c>
      <c r="C102" s="64" t="s">
        <v>85</v>
      </c>
      <c r="D102" s="94"/>
      <c r="E102" s="95"/>
      <c r="F102" s="94"/>
      <c r="G102" s="95">
        <v>20000</v>
      </c>
    </row>
    <row r="103" spans="2:37" s="55" customFormat="1" ht="12.75" customHeight="1" outlineLevel="1" x14ac:dyDescent="0.25">
      <c r="B103" s="52" t="s">
        <v>284</v>
      </c>
      <c r="C103" s="64" t="s">
        <v>85</v>
      </c>
      <c r="D103" s="96"/>
      <c r="E103" s="97"/>
      <c r="F103" s="94"/>
      <c r="G103" s="95">
        <v>20000</v>
      </c>
    </row>
    <row r="104" spans="2:37" s="55" customFormat="1" ht="12.75" customHeight="1" outlineLevel="1" x14ac:dyDescent="0.25">
      <c r="B104" s="52" t="s">
        <v>285</v>
      </c>
      <c r="C104" s="64" t="s">
        <v>85</v>
      </c>
      <c r="D104" s="96"/>
      <c r="E104" s="97"/>
      <c r="F104" s="94"/>
      <c r="G104" s="95">
        <v>20000</v>
      </c>
    </row>
    <row r="105" spans="2:37" outlineLevel="1" x14ac:dyDescent="0.25">
      <c r="B105" s="52" t="s">
        <v>286</v>
      </c>
      <c r="C105" s="64" t="s">
        <v>85</v>
      </c>
      <c r="D105" s="94"/>
      <c r="E105" s="95"/>
      <c r="F105" s="94"/>
      <c r="G105" s="95">
        <v>20000</v>
      </c>
    </row>
    <row r="106" spans="2:37" s="55" customFormat="1" ht="12.75" customHeight="1" outlineLevel="1" x14ac:dyDescent="0.25">
      <c r="B106" s="52" t="s">
        <v>287</v>
      </c>
      <c r="C106" s="64" t="s">
        <v>85</v>
      </c>
      <c r="D106" s="96"/>
      <c r="E106" s="97"/>
      <c r="F106" s="94"/>
      <c r="G106" s="95">
        <v>20000</v>
      </c>
    </row>
    <row r="107" spans="2:37" outlineLevel="1" x14ac:dyDescent="0.25">
      <c r="B107" s="52" t="s">
        <v>288</v>
      </c>
      <c r="C107" s="64" t="s">
        <v>85</v>
      </c>
      <c r="D107" s="94"/>
      <c r="E107" s="95"/>
      <c r="F107" s="94">
        <f>'Ανάλυση για νέους πελάτες'!D220/'Ανάλυση για νέους πελάτες'!D98</f>
        <v>3285</v>
      </c>
      <c r="G107" s="95">
        <v>20000</v>
      </c>
    </row>
    <row r="108" spans="2:37" ht="15" customHeight="1" outlineLevel="1" x14ac:dyDescent="0.25">
      <c r="B108" s="52" t="s">
        <v>289</v>
      </c>
      <c r="C108" s="64" t="s">
        <v>85</v>
      </c>
      <c r="D108" s="94"/>
      <c r="E108" s="95"/>
      <c r="F108" s="94">
        <f>'Ανάλυση για νέους πελάτες'!D221/'Ανάλυση για νέους πελάτες'!D99</f>
        <v>3333</v>
      </c>
      <c r="G108" s="95">
        <v>20000</v>
      </c>
    </row>
    <row r="109" spans="2:37" ht="15" customHeight="1" outlineLevel="1" x14ac:dyDescent="0.25">
      <c r="B109" s="52" t="s">
        <v>290</v>
      </c>
      <c r="C109" s="64" t="s">
        <v>85</v>
      </c>
      <c r="D109" s="94"/>
      <c r="E109" s="95"/>
      <c r="F109" s="94"/>
      <c r="G109" s="95">
        <v>20000</v>
      </c>
    </row>
    <row r="110" spans="2:37" ht="15" customHeight="1" outlineLevel="1" x14ac:dyDescent="0.25">
      <c r="B110" s="52" t="s">
        <v>291</v>
      </c>
      <c r="C110" s="64" t="s">
        <v>85</v>
      </c>
      <c r="D110" s="94"/>
      <c r="E110" s="95"/>
      <c r="F110" s="94"/>
      <c r="G110" s="95">
        <v>20000</v>
      </c>
    </row>
    <row r="111" spans="2:37" ht="15" customHeight="1" outlineLevel="1" x14ac:dyDescent="0.25">
      <c r="B111" s="52" t="s">
        <v>307</v>
      </c>
      <c r="C111" s="64" t="s">
        <v>85</v>
      </c>
      <c r="D111" s="94"/>
      <c r="E111" s="95"/>
      <c r="F111" s="94"/>
      <c r="G111" s="95"/>
    </row>
    <row r="112" spans="2:37" ht="15" customHeight="1" outlineLevel="1" x14ac:dyDescent="0.25">
      <c r="B112" s="52" t="s">
        <v>304</v>
      </c>
      <c r="C112" s="64" t="s">
        <v>85</v>
      </c>
      <c r="D112" s="94"/>
      <c r="E112" s="95"/>
      <c r="F112" s="94"/>
      <c r="G112" s="95"/>
    </row>
    <row r="113" spans="2:37" ht="15" customHeight="1" outlineLevel="1" x14ac:dyDescent="0.25">
      <c r="B113" s="52" t="s">
        <v>305</v>
      </c>
      <c r="C113" s="64" t="s">
        <v>85</v>
      </c>
      <c r="D113" s="94"/>
      <c r="E113" s="95"/>
      <c r="F113" s="94"/>
      <c r="G113" s="95"/>
    </row>
    <row r="114" spans="2:37" ht="15" customHeight="1" outlineLevel="1" x14ac:dyDescent="0.25">
      <c r="B114" s="52" t="s">
        <v>306</v>
      </c>
      <c r="C114" s="64" t="s">
        <v>85</v>
      </c>
      <c r="D114" s="94"/>
      <c r="E114" s="95"/>
      <c r="F114" s="94"/>
      <c r="G114" s="95"/>
    </row>
    <row r="115" spans="2:37" ht="15" customHeight="1" outlineLevel="1" x14ac:dyDescent="0.25">
      <c r="B115" s="52" t="s">
        <v>308</v>
      </c>
      <c r="C115" s="64" t="s">
        <v>85</v>
      </c>
      <c r="D115" s="94"/>
      <c r="E115" s="95"/>
      <c r="F115" s="94"/>
      <c r="G115" s="95"/>
    </row>
    <row r="116" spans="2:37" ht="15" customHeight="1" outlineLevel="1" x14ac:dyDescent="0.25">
      <c r="B116" s="52"/>
      <c r="C116" s="64"/>
      <c r="D116" s="94"/>
      <c r="E116" s="95"/>
      <c r="F116" s="94"/>
      <c r="G116" s="95"/>
    </row>
    <row r="117" spans="2:37" ht="16.5" customHeight="1" outlineLevel="1" x14ac:dyDescent="0.25">
      <c r="B117" s="349" t="s">
        <v>90</v>
      </c>
      <c r="C117" s="350"/>
      <c r="D117" s="350"/>
      <c r="E117" s="350"/>
      <c r="F117" s="350"/>
      <c r="G117" s="397"/>
    </row>
    <row r="118" spans="2:37" ht="15" customHeight="1" x14ac:dyDescent="0.25"/>
    <row r="119" spans="2:37" ht="15.75" x14ac:dyDescent="0.25">
      <c r="B119" s="352" t="s">
        <v>12</v>
      </c>
      <c r="C119" s="352"/>
      <c r="D119" s="352"/>
      <c r="E119" s="352"/>
      <c r="F119" s="352"/>
      <c r="G119" s="352"/>
    </row>
    <row r="120" spans="2:37" ht="5.45" customHeight="1" outlineLevel="1" x14ac:dyDescent="0.2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row>
    <row r="121" spans="2:37" outlineLevel="1" x14ac:dyDescent="0.25">
      <c r="B121" s="400"/>
      <c r="C121" s="412" t="s">
        <v>20</v>
      </c>
      <c r="D121" s="376" t="s">
        <v>262</v>
      </c>
      <c r="E121" s="392"/>
      <c r="F121" s="376" t="s">
        <v>261</v>
      </c>
      <c r="G121" s="392"/>
    </row>
    <row r="122" spans="2:37" outlineLevel="1" x14ac:dyDescent="0.25">
      <c r="B122" s="401"/>
      <c r="C122" s="413"/>
      <c r="D122" s="376" t="str">
        <f>($C$3-5)&amp;" - "&amp;($C$3-1)</f>
        <v>2018 - 2022</v>
      </c>
      <c r="E122" s="392"/>
      <c r="F122" s="376" t="str">
        <f>$C$3&amp;" - "&amp;$E$3</f>
        <v>2023 - 2027</v>
      </c>
      <c r="G122" s="392"/>
    </row>
    <row r="123" spans="2:37" ht="30" outlineLevel="1" x14ac:dyDescent="0.25">
      <c r="B123" s="402"/>
      <c r="C123" s="414"/>
      <c r="D123" s="87" t="s">
        <v>86</v>
      </c>
      <c r="E123" s="92" t="s">
        <v>87</v>
      </c>
      <c r="F123" s="87" t="s">
        <v>86</v>
      </c>
      <c r="G123" s="92" t="s">
        <v>87</v>
      </c>
    </row>
    <row r="124" spans="2:37" outlineLevel="1" x14ac:dyDescent="0.25">
      <c r="B124" s="281" t="s">
        <v>283</v>
      </c>
      <c r="C124" s="64" t="s">
        <v>85</v>
      </c>
      <c r="D124" s="94"/>
      <c r="E124" s="95"/>
      <c r="F124" s="94"/>
      <c r="G124" s="95">
        <f>'Ανάλυση για νέους πελάτες'!I235</f>
        <v>0</v>
      </c>
    </row>
    <row r="125" spans="2:37" s="55" customFormat="1" ht="12.75" customHeight="1" outlineLevel="1" x14ac:dyDescent="0.25">
      <c r="B125" s="52" t="s">
        <v>284</v>
      </c>
      <c r="C125" s="64" t="s">
        <v>85</v>
      </c>
      <c r="D125" s="96"/>
      <c r="E125" s="97"/>
      <c r="F125" s="94"/>
      <c r="G125" s="95">
        <f>'Ανάλυση για νέους πελάτες'!I236</f>
        <v>0</v>
      </c>
    </row>
    <row r="126" spans="2:37" s="55" customFormat="1" ht="12.75" customHeight="1" outlineLevel="1" x14ac:dyDescent="0.25">
      <c r="B126" s="52" t="s">
        <v>285</v>
      </c>
      <c r="C126" s="64" t="s">
        <v>85</v>
      </c>
      <c r="D126" s="96"/>
      <c r="E126" s="97"/>
      <c r="F126" s="94"/>
      <c r="G126" s="95">
        <f>'Ανάλυση για νέους πελάτες'!I237</f>
        <v>0</v>
      </c>
    </row>
    <row r="127" spans="2:37" outlineLevel="1" x14ac:dyDescent="0.25">
      <c r="B127" s="52" t="s">
        <v>286</v>
      </c>
      <c r="C127" s="64" t="s">
        <v>85</v>
      </c>
      <c r="D127" s="94"/>
      <c r="E127" s="95"/>
      <c r="F127" s="94"/>
      <c r="G127" s="95">
        <f>'Ανάλυση για νέους πελάτες'!I238</f>
        <v>6296</v>
      </c>
    </row>
    <row r="128" spans="2:37" s="55" customFormat="1" ht="12.75" customHeight="1" outlineLevel="1" x14ac:dyDescent="0.25">
      <c r="B128" s="52" t="s">
        <v>287</v>
      </c>
      <c r="C128" s="64" t="s">
        <v>85</v>
      </c>
      <c r="D128" s="96"/>
      <c r="E128" s="97"/>
      <c r="F128" s="94"/>
      <c r="G128" s="95">
        <f>'Ανάλυση για νέους πελάτες'!I239</f>
        <v>5000</v>
      </c>
    </row>
    <row r="129" spans="2:7" outlineLevel="1" x14ac:dyDescent="0.25">
      <c r="B129" s="52" t="s">
        <v>288</v>
      </c>
      <c r="C129" s="64" t="s">
        <v>85</v>
      </c>
      <c r="D129" s="94"/>
      <c r="E129" s="95"/>
      <c r="F129" s="94">
        <f>'Ανάλυση για νέους πελάτες'!D240/'Ανάλυση για νέους πελάτες'!D118</f>
        <v>187</v>
      </c>
      <c r="G129" s="95">
        <f>'Ανάλυση για νέους πελάτες'!I240</f>
        <v>187</v>
      </c>
    </row>
    <row r="130" spans="2:7" outlineLevel="1" x14ac:dyDescent="0.25">
      <c r="B130" s="52" t="s">
        <v>289</v>
      </c>
      <c r="C130" s="64" t="s">
        <v>85</v>
      </c>
      <c r="D130" s="94"/>
      <c r="E130" s="95"/>
      <c r="F130" s="94">
        <f>'Ανάλυση για νέους πελάτες'!D241/'Ανάλυση για νέους πελάτες'!D119</f>
        <v>189</v>
      </c>
      <c r="G130" s="95">
        <f>'Ανάλυση για νέους πελάτες'!I241</f>
        <v>5189</v>
      </c>
    </row>
    <row r="131" spans="2:7" outlineLevel="1" x14ac:dyDescent="0.25">
      <c r="B131" s="52" t="s">
        <v>290</v>
      </c>
      <c r="C131" s="64" t="s">
        <v>85</v>
      </c>
      <c r="D131" s="94"/>
      <c r="E131" s="95"/>
      <c r="F131" s="94">
        <f>'Ανάλυση για νέους πελάτες'!D242/'Ανάλυση για νέους πελάτες'!D120</f>
        <v>187</v>
      </c>
      <c r="G131" s="95">
        <f>'Ανάλυση για νέους πελάτες'!I242</f>
        <v>5115</v>
      </c>
    </row>
    <row r="132" spans="2:7" ht="15" customHeight="1" outlineLevel="1" x14ac:dyDescent="0.25">
      <c r="B132" s="52" t="s">
        <v>291</v>
      </c>
      <c r="C132" s="64" t="s">
        <v>85</v>
      </c>
      <c r="D132" s="94"/>
      <c r="E132" s="95"/>
      <c r="F132" s="94">
        <f>'Ανάλυση για νέους πελάτες'!D243/'Ανάλυση για νέους πελάτες'!D121</f>
        <v>187</v>
      </c>
      <c r="G132" s="95">
        <f>'Ανάλυση για νέους πελάτες'!I243</f>
        <v>5115</v>
      </c>
    </row>
    <row r="133" spans="2:7" ht="15" customHeight="1" outlineLevel="1" x14ac:dyDescent="0.25">
      <c r="B133" s="52" t="s">
        <v>307</v>
      </c>
      <c r="C133" s="64" t="s">
        <v>85</v>
      </c>
      <c r="D133" s="94"/>
      <c r="E133" s="95"/>
      <c r="F133" s="94"/>
      <c r="G133" s="95"/>
    </row>
    <row r="134" spans="2:7" ht="15" customHeight="1" outlineLevel="1" x14ac:dyDescent="0.25">
      <c r="B134" s="52" t="s">
        <v>304</v>
      </c>
      <c r="C134" s="64" t="s">
        <v>85</v>
      </c>
      <c r="D134" s="94"/>
      <c r="E134" s="95"/>
      <c r="F134" s="94"/>
      <c r="G134" s="95"/>
    </row>
    <row r="135" spans="2:7" ht="15" customHeight="1" outlineLevel="1" x14ac:dyDescent="0.25">
      <c r="B135" s="52" t="s">
        <v>305</v>
      </c>
      <c r="C135" s="64" t="s">
        <v>85</v>
      </c>
      <c r="D135" s="94"/>
      <c r="E135" s="95"/>
      <c r="F135" s="94"/>
      <c r="G135" s="95"/>
    </row>
    <row r="136" spans="2:7" ht="15" customHeight="1" outlineLevel="1" x14ac:dyDescent="0.25">
      <c r="B136" s="52" t="s">
        <v>306</v>
      </c>
      <c r="C136" s="64" t="s">
        <v>85</v>
      </c>
      <c r="D136" s="94"/>
      <c r="E136" s="95"/>
      <c r="F136" s="94"/>
      <c r="G136" s="95"/>
    </row>
    <row r="137" spans="2:7" ht="15" customHeight="1" outlineLevel="1" x14ac:dyDescent="0.25">
      <c r="B137" s="52" t="s">
        <v>308</v>
      </c>
      <c r="C137" s="64" t="s">
        <v>85</v>
      </c>
      <c r="D137" s="94"/>
      <c r="E137" s="95"/>
      <c r="F137" s="94"/>
      <c r="G137" s="95"/>
    </row>
    <row r="138" spans="2:7" ht="15" customHeight="1" outlineLevel="1" x14ac:dyDescent="0.25">
      <c r="B138" s="52"/>
      <c r="C138" s="64"/>
      <c r="D138" s="94"/>
      <c r="E138" s="95"/>
      <c r="F138" s="94"/>
      <c r="G138" s="95"/>
    </row>
    <row r="139" spans="2:7" ht="16.5" customHeight="1" outlineLevel="1" x14ac:dyDescent="0.25">
      <c r="B139" s="349" t="s">
        <v>90</v>
      </c>
      <c r="C139" s="350"/>
      <c r="D139" s="350"/>
      <c r="E139" s="350"/>
      <c r="F139" s="350"/>
      <c r="G139" s="397"/>
    </row>
    <row r="141" spans="2:7" x14ac:dyDescent="0.25">
      <c r="B141" s="17"/>
    </row>
    <row r="142" spans="2:7" x14ac:dyDescent="0.25">
      <c r="B142" s="17"/>
    </row>
  </sheetData>
  <mergeCells count="51">
    <mergeCell ref="J2:L2"/>
    <mergeCell ref="D12:E12"/>
    <mergeCell ref="F12:G12"/>
    <mergeCell ref="B29:G29"/>
    <mergeCell ref="B51:G51"/>
    <mergeCell ref="B33:B35"/>
    <mergeCell ref="C33:C35"/>
    <mergeCell ref="B5:I5"/>
    <mergeCell ref="D11:E11"/>
    <mergeCell ref="F11:G11"/>
    <mergeCell ref="C11:C13"/>
    <mergeCell ref="B11:B13"/>
    <mergeCell ref="B55:B57"/>
    <mergeCell ref="C55:C57"/>
    <mergeCell ref="F55:G55"/>
    <mergeCell ref="D33:E33"/>
    <mergeCell ref="F33:G33"/>
    <mergeCell ref="D55:E55"/>
    <mergeCell ref="D34:E34"/>
    <mergeCell ref="F34:G34"/>
    <mergeCell ref="D56:E56"/>
    <mergeCell ref="F56:G56"/>
    <mergeCell ref="B139:G139"/>
    <mergeCell ref="C2:G2"/>
    <mergeCell ref="B9:G9"/>
    <mergeCell ref="B31:G31"/>
    <mergeCell ref="B53:G53"/>
    <mergeCell ref="B75:G75"/>
    <mergeCell ref="B97:G97"/>
    <mergeCell ref="B119:G119"/>
    <mergeCell ref="B121:B123"/>
    <mergeCell ref="C121:C123"/>
    <mergeCell ref="D121:E121"/>
    <mergeCell ref="F121:G121"/>
    <mergeCell ref="B77:B79"/>
    <mergeCell ref="C77:C79"/>
    <mergeCell ref="D77:E77"/>
    <mergeCell ref="F77:G77"/>
    <mergeCell ref="D122:E122"/>
    <mergeCell ref="F122:G122"/>
    <mergeCell ref="B73:G73"/>
    <mergeCell ref="B95:G95"/>
    <mergeCell ref="B117:G117"/>
    <mergeCell ref="B99:B101"/>
    <mergeCell ref="C99:C101"/>
    <mergeCell ref="D99:E99"/>
    <mergeCell ref="F99:G99"/>
    <mergeCell ref="D78:E78"/>
    <mergeCell ref="F78:G78"/>
    <mergeCell ref="D100:E100"/>
    <mergeCell ref="F100:G100"/>
  </mergeCells>
  <hyperlinks>
    <hyperlink ref="J2" location="'Αρχική σελίδα'!A1" display="Πίσω στην αρχική σελίδα" xr:uid="{302C032D-A23A-44E6-8795-11A166E612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23</vt:i4>
      </vt:variant>
    </vt:vector>
  </HeadingPairs>
  <TitlesOfParts>
    <vt:vector size="23" baseType="lpstr">
      <vt:lpstr>Αρχική σελίδα</vt:lpstr>
      <vt:lpstr>Ανάλυση δήμων -&gt;</vt:lpstr>
      <vt:lpstr>Γενική περιγραφή</vt:lpstr>
      <vt:lpstr>Ανάλυση για νέους πελάτες</vt:lpstr>
      <vt:lpstr>Ανάπτυξη δικτύου</vt:lpstr>
      <vt:lpstr>Ενεργοί πελάτες</vt:lpstr>
      <vt:lpstr>Ενεργές συνδέσεις</vt:lpstr>
      <vt:lpstr>Ενεργοί μετρητές</vt:lpstr>
      <vt:lpstr>Μέση ετήσια κατανάλωση</vt:lpstr>
      <vt:lpstr>Διανεμόμενες ποσότητες αερίου</vt:lpstr>
      <vt:lpstr>Παραδοχές μοναδιαίου κόστους</vt:lpstr>
      <vt:lpstr>Επενδύσεις</vt:lpstr>
      <vt:lpstr>Παραδοχές διείσδυσης - κάλυψης</vt:lpstr>
      <vt:lpstr>Δείκτες διείσδυσης - κάλυψης</vt:lpstr>
      <vt:lpstr>Δείκτες απόδοσης</vt:lpstr>
      <vt:lpstr>Οικονομική ανάλυση δήμων -&gt;</vt:lpstr>
      <vt:lpstr>Αποτελέσματα ανάλυσης</vt:lpstr>
      <vt:lpstr>Ανάλυση ανά δήμο</vt:lpstr>
      <vt:lpstr>Συνολικό δίκτυο -&gt;</vt:lpstr>
      <vt:lpstr>Στοιχεία υφιστάμενου δικτύου</vt:lpstr>
      <vt:lpstr>Πρόγραμμα ανάπτυξης δικτύου</vt:lpstr>
      <vt:lpstr>Συνολικοί δείκτες απόδοσης</vt:lpstr>
      <vt:lpstr>Επίπτωση στη μέση χρέωση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Fotis Thomaidis</dc:creator>
  <cp:lastModifiedBy>Christina Charalampidou</cp:lastModifiedBy>
  <cp:lastPrinted>2021-11-17T11:12:44Z</cp:lastPrinted>
  <dcterms:created xsi:type="dcterms:W3CDTF">2021-04-23T06:42:23Z</dcterms:created>
  <dcterms:modified xsi:type="dcterms:W3CDTF">2023-03-13T07:41:09Z</dcterms:modified>
</cp:coreProperties>
</file>